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320" yWindow="0" windowWidth="24780" windowHeight="15240" tabRatio="500"/>
  </bookViews>
  <sheets>
    <sheet name="Sheet1" sheetId="1" r:id="rId1"/>
  </sheets>
  <definedNames>
    <definedName name="_xlnm.Print_Area" localSheetId="0">Sheet1!$G$174:$L$178</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114" i="1" l="1"/>
  <c r="G64" i="1"/>
  <c r="E133" i="1"/>
  <c r="I133" i="1"/>
  <c r="K133" i="1"/>
  <c r="K134" i="1"/>
  <c r="K114" i="1"/>
  <c r="K118" i="1"/>
  <c r="E123" i="1"/>
  <c r="K123" i="1"/>
  <c r="K126" i="1"/>
  <c r="K174" i="1"/>
  <c r="L177" i="1"/>
  <c r="I174" i="1"/>
  <c r="D135" i="1"/>
  <c r="D127" i="1"/>
  <c r="K176" i="1"/>
  <c r="D170" i="1"/>
  <c r="D163" i="1"/>
  <c r="D156" i="1"/>
  <c r="D149" i="1"/>
  <c r="D142" i="1"/>
  <c r="D119" i="1"/>
  <c r="D108" i="1"/>
  <c r="D101" i="1"/>
  <c r="D95" i="1"/>
  <c r="D87" i="1"/>
  <c r="D76" i="1"/>
  <c r="D64" i="1"/>
  <c r="D44" i="1"/>
  <c r="D34" i="1"/>
  <c r="D22" i="1"/>
  <c r="D8" i="1"/>
  <c r="J21" i="1"/>
  <c r="J26" i="1"/>
  <c r="J33" i="1"/>
  <c r="F51" i="1"/>
  <c r="J51" i="1"/>
  <c r="J60" i="1"/>
  <c r="J63" i="1"/>
  <c r="J174" i="1"/>
  <c r="L6" i="1"/>
  <c r="L5" i="1"/>
  <c r="L4" i="1"/>
  <c r="K49" i="1"/>
  <c r="K117" i="1"/>
  <c r="L169" i="1"/>
  <c r="J118" i="1"/>
  <c r="L118" i="1"/>
  <c r="L63" i="1"/>
  <c r="J7" i="1"/>
  <c r="L7" i="1"/>
  <c r="L21" i="1"/>
  <c r="L33" i="1"/>
  <c r="L134" i="1"/>
  <c r="L126" i="1"/>
  <c r="L174" i="1"/>
  <c r="L107" i="1"/>
  <c r="H176" i="1"/>
  <c r="H174" i="1"/>
  <c r="K7" i="1"/>
  <c r="K6" i="1"/>
  <c r="K5" i="1"/>
  <c r="K4" i="1"/>
  <c r="H7" i="1"/>
  <c r="H43" i="1"/>
  <c r="H169" i="1"/>
  <c r="K169" i="1"/>
  <c r="J169" i="1"/>
  <c r="J168" i="1"/>
  <c r="K167" i="1"/>
  <c r="I168" i="1"/>
  <c r="E168" i="1"/>
  <c r="E167" i="1"/>
  <c r="I167" i="1"/>
  <c r="L168" i="1"/>
  <c r="E160" i="1"/>
  <c r="K160" i="1"/>
  <c r="K162" i="1"/>
  <c r="L162" i="1"/>
  <c r="H162" i="1"/>
  <c r="I160" i="1"/>
  <c r="E153" i="1"/>
  <c r="K153" i="1"/>
  <c r="E154" i="1"/>
  <c r="K154" i="1"/>
  <c r="K155" i="1"/>
  <c r="L155" i="1"/>
  <c r="H155" i="1"/>
  <c r="I154" i="1"/>
  <c r="I153" i="1"/>
  <c r="E146" i="1"/>
  <c r="I146" i="1"/>
  <c r="E147" i="1"/>
  <c r="I147" i="1"/>
  <c r="K146" i="1"/>
  <c r="K147" i="1"/>
  <c r="K148" i="1"/>
  <c r="L148" i="1"/>
  <c r="H148" i="1"/>
  <c r="J140" i="1"/>
  <c r="J141" i="1"/>
  <c r="E139" i="1"/>
  <c r="K139" i="1"/>
  <c r="K141" i="1"/>
  <c r="L141" i="1"/>
  <c r="H141" i="1"/>
  <c r="I139" i="1"/>
  <c r="L146" i="1"/>
  <c r="I131" i="1"/>
  <c r="J131" i="1"/>
  <c r="J134" i="1"/>
  <c r="E132" i="1"/>
  <c r="I132" i="1"/>
  <c r="K132" i="1"/>
  <c r="H126" i="1"/>
  <c r="H134" i="1"/>
  <c r="J125" i="1"/>
  <c r="J126" i="1"/>
  <c r="E124" i="1"/>
  <c r="K124" i="1"/>
  <c r="K125" i="1"/>
  <c r="I125" i="1"/>
  <c r="I124" i="1"/>
  <c r="I123" i="1"/>
  <c r="J113" i="1"/>
  <c r="J114" i="1"/>
  <c r="J115" i="1"/>
  <c r="J116" i="1"/>
  <c r="E113" i="1"/>
  <c r="K113" i="1"/>
  <c r="E115" i="1"/>
  <c r="K115" i="1"/>
  <c r="K116" i="1"/>
  <c r="H118" i="1"/>
  <c r="E106" i="1"/>
  <c r="E107" i="1"/>
  <c r="K107" i="1"/>
  <c r="F106" i="1"/>
  <c r="J107" i="1"/>
  <c r="I107" i="1"/>
  <c r="J106" i="1"/>
  <c r="I106" i="1"/>
  <c r="E100" i="1"/>
  <c r="I100" i="1"/>
  <c r="J91" i="1"/>
  <c r="J92" i="1"/>
  <c r="J94" i="1"/>
  <c r="E91" i="1"/>
  <c r="K91" i="1"/>
  <c r="E92" i="1"/>
  <c r="K92" i="1"/>
  <c r="E93" i="1"/>
  <c r="I93" i="1"/>
  <c r="K93" i="1"/>
  <c r="K94" i="1"/>
  <c r="L94" i="1"/>
  <c r="H94" i="1"/>
  <c r="I92" i="1"/>
  <c r="I91" i="1"/>
  <c r="I82" i="1"/>
  <c r="J82" i="1"/>
  <c r="F84" i="1"/>
  <c r="J84" i="1"/>
  <c r="J85" i="1"/>
  <c r="J86" i="1"/>
  <c r="E83" i="1"/>
  <c r="I83" i="1"/>
  <c r="K83" i="1"/>
  <c r="K86" i="1"/>
  <c r="L86" i="1"/>
  <c r="H86" i="1"/>
  <c r="I84" i="1"/>
  <c r="I85" i="1"/>
  <c r="J69" i="1"/>
  <c r="F71" i="1"/>
  <c r="J71" i="1"/>
  <c r="J72" i="1"/>
  <c r="F74" i="1"/>
  <c r="J74" i="1"/>
  <c r="J75" i="1"/>
  <c r="E70" i="1"/>
  <c r="K70" i="1"/>
  <c r="E72" i="1"/>
  <c r="K72" i="1"/>
  <c r="E73" i="1"/>
  <c r="K73" i="1"/>
  <c r="K75" i="1"/>
  <c r="L76" i="1"/>
  <c r="H75" i="1"/>
  <c r="I74" i="1"/>
  <c r="I72" i="1"/>
  <c r="F73" i="1"/>
  <c r="I73" i="1"/>
  <c r="I71" i="1"/>
  <c r="I70" i="1"/>
  <c r="F50" i="1"/>
  <c r="J50" i="1"/>
  <c r="J52" i="1"/>
  <c r="J53" i="1"/>
  <c r="J54" i="1"/>
  <c r="J55" i="1"/>
  <c r="J56" i="1"/>
  <c r="J57" i="1"/>
  <c r="J58" i="1"/>
  <c r="J59" i="1"/>
  <c r="J61" i="1"/>
  <c r="J62" i="1"/>
  <c r="E27" i="1"/>
  <c r="I27" i="1"/>
  <c r="E17" i="1"/>
  <c r="I17" i="1"/>
  <c r="E12" i="1"/>
  <c r="I12" i="1"/>
  <c r="E13" i="1"/>
  <c r="I13" i="1"/>
  <c r="E14" i="1"/>
  <c r="I14" i="1"/>
  <c r="E15" i="1"/>
  <c r="I15" i="1"/>
  <c r="E16" i="1"/>
  <c r="I16" i="1"/>
  <c r="I21" i="1"/>
  <c r="E49" i="1"/>
  <c r="I49" i="1"/>
  <c r="E54" i="1"/>
  <c r="I54" i="1"/>
  <c r="K63" i="1"/>
  <c r="I50" i="1"/>
  <c r="I51" i="1"/>
  <c r="I55" i="1"/>
  <c r="I56" i="1"/>
  <c r="I57" i="1"/>
  <c r="I58" i="1"/>
  <c r="I59" i="1"/>
  <c r="I60" i="1"/>
  <c r="I61" i="1"/>
  <c r="I62" i="1"/>
  <c r="I63" i="1"/>
  <c r="H63" i="1"/>
  <c r="H33" i="1"/>
  <c r="H21" i="1"/>
  <c r="J28" i="1"/>
  <c r="J29" i="1"/>
  <c r="J30" i="1"/>
  <c r="J31" i="1"/>
  <c r="J32" i="1"/>
  <c r="E26" i="1"/>
  <c r="K26" i="1"/>
  <c r="K27" i="1"/>
  <c r="E28" i="1"/>
  <c r="K28" i="1"/>
  <c r="E29" i="1"/>
  <c r="K29" i="1"/>
  <c r="E30" i="1"/>
  <c r="K30" i="1"/>
  <c r="K33" i="1"/>
  <c r="K21" i="1"/>
  <c r="I32" i="1"/>
  <c r="I31" i="1"/>
  <c r="I29" i="1"/>
  <c r="I30" i="1"/>
  <c r="I28" i="1"/>
  <c r="K12" i="1"/>
  <c r="K13" i="1"/>
  <c r="K14" i="1"/>
  <c r="K15" i="1"/>
  <c r="K16" i="1"/>
  <c r="K17" i="1"/>
  <c r="K20" i="1"/>
  <c r="I26" i="1"/>
  <c r="J16" i="1"/>
  <c r="J13" i="1"/>
  <c r="J12" i="1"/>
  <c r="I41" i="1"/>
  <c r="I40" i="1"/>
  <c r="I42" i="1"/>
  <c r="J42" i="1"/>
  <c r="E39" i="1"/>
  <c r="I39" i="1"/>
  <c r="I43" i="1"/>
  <c r="K43" i="1"/>
  <c r="L43" i="1"/>
  <c r="L123" i="1"/>
  <c r="E4" i="1"/>
  <c r="I4" i="1"/>
  <c r="I6" i="1"/>
  <c r="E5" i="1"/>
  <c r="I5" i="1"/>
  <c r="I8" i="1"/>
  <c r="L131" i="1"/>
  <c r="I116" i="1"/>
  <c r="K100" i="1"/>
  <c r="L100" i="1"/>
  <c r="L93" i="1"/>
  <c r="J14" i="1"/>
</calcChain>
</file>

<file path=xl/sharedStrings.xml><?xml version="1.0" encoding="utf-8"?>
<sst xmlns="http://schemas.openxmlformats.org/spreadsheetml/2006/main" count="263" uniqueCount="211">
  <si>
    <t>Time (days)</t>
  </si>
  <si>
    <t>Opening and Keynote Speakers</t>
  </si>
  <si>
    <t>Notes</t>
  </si>
  <si>
    <t>Number of People involved</t>
  </si>
  <si>
    <t>Cost Expenditure before taxes</t>
  </si>
  <si>
    <t>Cost Income before taxes</t>
  </si>
  <si>
    <t>Net Cost</t>
  </si>
  <si>
    <t>Mathias Link</t>
  </si>
  <si>
    <t>Ene Ergma</t>
  </si>
  <si>
    <t>Steve Jurvetson</t>
  </si>
  <si>
    <t>yes</t>
  </si>
  <si>
    <t>no</t>
  </si>
  <si>
    <t>My Rate eur/day</t>
  </si>
  <si>
    <t>Kārlis Šadurskis</t>
  </si>
  <si>
    <t>European Commissioner</t>
  </si>
  <si>
    <t>Social Event</t>
  </si>
  <si>
    <t>My time</t>
  </si>
  <si>
    <t>ALA Pagabs</t>
  </si>
  <si>
    <t>Total Others</t>
  </si>
  <si>
    <t>Total Me</t>
  </si>
  <si>
    <t>Anna's Time</t>
  </si>
  <si>
    <t>LIIA's Time</t>
  </si>
  <si>
    <t>Paid by LIIA</t>
  </si>
  <si>
    <t>Paid by EC Latvia Rep</t>
  </si>
  <si>
    <t>My Project Development time</t>
  </si>
  <si>
    <t>Printing 1000 copies</t>
  </si>
  <si>
    <t>My Project Development Time</t>
  </si>
  <si>
    <t>Baltic Space Facilities Booklet</t>
  </si>
  <si>
    <t>Baltic Space Facilities Exhibits</t>
  </si>
  <si>
    <t>guesstimate for LIIA's time</t>
  </si>
  <si>
    <t>guestimate for LIIA's time+materials</t>
  </si>
  <si>
    <t>Zinoo Exhibits</t>
  </si>
  <si>
    <t>Solar System for Kids Exhibits</t>
  </si>
  <si>
    <t>Italy Planets-in-a-Room Contrib</t>
  </si>
  <si>
    <t>RiXC</t>
  </si>
  <si>
    <t>5 Latvian Space Exhibits by LIAA</t>
  </si>
  <si>
    <t>Vaira Vīķe-Freiberga</t>
  </si>
  <si>
    <t>Dana Reizniece-Ozola</t>
  </si>
  <si>
    <t>Moletai EthnoKosmo</t>
  </si>
  <si>
    <t>My Discussions with Baltic Businesses</t>
  </si>
  <si>
    <t>My Discussions with LMT and Europlanet Press Office</t>
  </si>
  <si>
    <t>Selecting Talks from the Abstracts</t>
  </si>
  <si>
    <t>Getting permissions from Authors</t>
  </si>
  <si>
    <t>Press and Outreach</t>
  </si>
  <si>
    <t>My invitations + discussions</t>
  </si>
  <si>
    <t>guesstimate for LMT's work</t>
  </si>
  <si>
    <t>SpaceTEM</t>
  </si>
  <si>
    <t>Involving Baltic people in Scientific Sessions</t>
  </si>
  <si>
    <t>Session Conveners</t>
  </si>
  <si>
    <t>Affordable Registration Fee</t>
  </si>
  <si>
    <t xml:space="preserve">My Discussions w/EPSC </t>
  </si>
  <si>
    <t>My project development time</t>
  </si>
  <si>
    <t>Riga Eating Guide</t>
  </si>
  <si>
    <t>SpaceTEM project development for EPSC</t>
  </si>
  <si>
    <t>TOTAL</t>
  </si>
  <si>
    <t>LMT streaming work</t>
  </si>
  <si>
    <t>Meteoriti.lv Contrib</t>
  </si>
  <si>
    <t>yes / no</t>
  </si>
  <si>
    <t>paid on her own - here is estimated time for her presentation</t>
  </si>
  <si>
    <t xml:space="preserve">Paid on her own. Travel in the rain from Jurmala, long, great presentation. </t>
  </si>
  <si>
    <t>paid on his own, 15 min speech</t>
  </si>
  <si>
    <t>Travel/Accomodation provided by SpaceTEM for Ene Ergma, her own time for her speech prep.</t>
  </si>
  <si>
    <t>paid on his own:  travel (400), accomodations(280), great presentation (500)</t>
  </si>
  <si>
    <t>Succeeded to properly invite him, he could not make it.</t>
  </si>
  <si>
    <t>EC Office invited, she could no make it</t>
  </si>
  <si>
    <t>ALG LOC Meeting Time (prep, during, followup) to  late August</t>
  </si>
  <si>
    <t>Software: Dropbox (10 Eur/mo)</t>
  </si>
  <si>
    <t>Software: MeetingBurner (30 Eur/mo)</t>
  </si>
  <si>
    <t>Public Event</t>
  </si>
  <si>
    <t>Astronaut Aimbetov</t>
  </si>
  <si>
    <t>Janis Kirpitis</t>
  </si>
  <si>
    <t>Bernard Foing</t>
  </si>
  <si>
    <t>JL Galache</t>
  </si>
  <si>
    <t>We made the public event for the astronaut, finding a theme inside of a planetary conference. Then LIAA canceled him 2 weeks before.</t>
  </si>
  <si>
    <t>Tried with: Spanish Embassy for their speakers program, they didn't answer. Invited by US Embassy, I applied through their channels, then they cancelled two weeks before. Tried with British Embassy, they didn't have enough time. Tried with Europlanet, they paid.</t>
  </si>
  <si>
    <t>Anna Reynolds</t>
  </si>
  <si>
    <t>Translator 1: prepared for a teenager audience. MoES didn't provide.</t>
  </si>
  <si>
    <t>Aija Abens</t>
  </si>
  <si>
    <t>Translator 2: prepared for a teenager audience. MoES didn't provide.</t>
  </si>
  <si>
    <t>total contrib others</t>
  </si>
  <si>
    <t>total me</t>
  </si>
  <si>
    <t>total cost of Opening and Keynote Speakers part</t>
  </si>
  <si>
    <t>total cost of Public Event part</t>
  </si>
  <si>
    <t>total contribution of others</t>
  </si>
  <si>
    <t>Pauls Irbins agreed to replace the astronaut, I had round of commincation with all, then Pauls got sick the day of the Event. Janis stepped in for Pauls the morning of event. This is an estimate of his time.</t>
  </si>
  <si>
    <t>Nico Altobelli agreed to be the ESA mission speaker, then ESA said no, then we remade talk, then ESA still said no, then more iterations with ESA until a new speaker: Bernard Foing was found. This is an estimate of Bernard's time.</t>
  </si>
  <si>
    <t>Including writing and communiaction for second EC proposal and developing and running a second Crowd-funding for my time</t>
  </si>
  <si>
    <t>Egils' Time @ LIAA</t>
  </si>
  <si>
    <t>Egils' Time @ BinS</t>
  </si>
  <si>
    <t>FMI's time</t>
  </si>
  <si>
    <t>PSR's time</t>
  </si>
  <si>
    <t>TO's time</t>
  </si>
  <si>
    <t>IES' time</t>
  </si>
  <si>
    <t>VIRAC's time</t>
  </si>
  <si>
    <t>LU's (3 facilities) time</t>
  </si>
  <si>
    <t>Moletai's Obs. time</t>
  </si>
  <si>
    <t>Paid by FMI (2 days)</t>
  </si>
  <si>
    <t>Paid by PSR (2 days)</t>
  </si>
  <si>
    <t>Paid by TO (2 days)</t>
  </si>
  <si>
    <t>Paid by LIAA/IES (2 days)</t>
  </si>
  <si>
    <t>Paid by LIAA/LU (2 days)</t>
  </si>
  <si>
    <t>Paid by LIAA/VIRAC (2 days)</t>
  </si>
  <si>
    <t>Paid by Moletai Obs (2 days)</t>
  </si>
  <si>
    <t xml:space="preserve">Number of Opening and Keynote Speakers paying on their own "in kind" </t>
  </si>
  <si>
    <t>Number of people who contributed 'in-kind' ( I am not double-counting Anna  in the whole)</t>
  </si>
  <si>
    <t>OGA Events + Mario</t>
  </si>
  <si>
    <t>total paid of others except Mario's time</t>
  </si>
  <si>
    <t>total cost of Social Event part</t>
  </si>
  <si>
    <t>My Editingand comm  time</t>
  </si>
  <si>
    <t xml:space="preserve"> total # of people involved</t>
  </si>
  <si>
    <t>My ALSPACET proposal development + proposal for Finance Minister + Additional exhibit notes and communication and meetings with LIAA</t>
  </si>
  <si>
    <t xml:space="preserve">FMI Exhibit Management </t>
  </si>
  <si>
    <t>FMI Exhibit</t>
  </si>
  <si>
    <t>guestimate for FMI's exhibit</t>
  </si>
  <si>
    <t>guestimate for FMI's travel + time</t>
  </si>
  <si>
    <t>Harri Haukka and Maria Genzer managed starting in June 2017. One Riga travel for two persons + 2 mos of Harri's parttime</t>
  </si>
  <si>
    <t>Cryogenic &amp; Vacuum Systems (Ventspils, LV)</t>
  </si>
  <si>
    <t>I met with them for 2 hours and had 6 conversations with their manager Maija Cebere. I gave estimate of their EPSC participation costs. Two of their company spent two days in Riga during EPSC</t>
  </si>
  <si>
    <t>I've estimated their EPSC Industry Day participation + their travel estimate.</t>
  </si>
  <si>
    <t>Van transport from Helsinki + Riga glass cases rental + Exhibit space rental. I found the Riga glass case rental company for them.</t>
  </si>
  <si>
    <t>Reaktor Space Lab (FI)</t>
  </si>
  <si>
    <t>total # of people involved</t>
  </si>
  <si>
    <t>Exhibit table + 1 ticket + their week of travel and accomodation</t>
  </si>
  <si>
    <t>total cost of Space Exhibits part</t>
  </si>
  <si>
    <t>Estimate of their travel and accomodation</t>
  </si>
  <si>
    <t>Karlis Berzins offered his meteorites when LU wouldn't permit Vilks to show the LU meteorites. He had the glass cases already? Transport and time to/from the Radisson.</t>
  </si>
  <si>
    <t>Estimate of meteoriti's contribution</t>
  </si>
  <si>
    <t>Science Speaks (IT) transported the spherical projector by car, Livia and spouse stayed in Riga one week.</t>
  </si>
  <si>
    <t>Estimate of Science Speaks contribution</t>
  </si>
  <si>
    <t>total of me</t>
  </si>
  <si>
    <t>total cost of Solar System for Kids Exhibit</t>
  </si>
  <si>
    <t>Paid by MoES. Space downstairs donated by Hotel.</t>
  </si>
  <si>
    <t>Estimate of RIXC contribution</t>
  </si>
  <si>
    <t>Paid by Latvian Cultural Fund. RIXC  told me that their requested amount was cut by 2/3, but I don't know their requested amount. They exhibited the entire week.  I wrote a supporting letter and reviewed their proposal.</t>
  </si>
  <si>
    <t>Industry Days Support</t>
  </si>
  <si>
    <t>Estimate of Moletai Contribution</t>
  </si>
  <si>
    <t>Meetings with LV-100 group, preparation of presentation and follow-up communication.</t>
  </si>
  <si>
    <t>My LV-100 Communication time</t>
  </si>
  <si>
    <t>contribution of others</t>
  </si>
  <si>
    <t>total cost of Cultural Exhibits</t>
  </si>
  <si>
    <t>They had a large booth (1000 Eur) and exhibited the entire week. One person stayed in Riga 6 days (300 Eur).  I travelled to Moletai Museum on May 1 w/Juris to engage them.</t>
  </si>
  <si>
    <t>Cultural Exhibits</t>
  </si>
  <si>
    <t>Developing this part with Europlanet Industry liason until about June, when his status reports became irregular. I invited Lithuanian, Latvian Estonian businesses by the 3 networks I know. I helped the liason to edit the Industry Day flyer.</t>
  </si>
  <si>
    <t>Sponsorship effort</t>
  </si>
  <si>
    <t>total cost of my part of the Industry Days</t>
  </si>
  <si>
    <t>Crowd-funding</t>
  </si>
  <si>
    <t>I ran two crowdfunding campaigns through FundRazr. Each took about one week of preparation with additional days for status updates.</t>
  </si>
  <si>
    <t>Personal Fund-raising</t>
  </si>
  <si>
    <t>Grapa paid by LMT for her work</t>
  </si>
  <si>
    <t>Met with LMT at their offices twice and gave a presentation with follow-up. Met camera crew privately.</t>
  </si>
  <si>
    <t>Work with Anita and LMT to gather permissions.</t>
  </si>
  <si>
    <t>Selecting / Streaming Talks</t>
  </si>
  <si>
    <t>Contribution by LMT including their camera crew (4)</t>
  </si>
  <si>
    <t>Worked with Anita to read and select talks from total number of talks. Then gathered with her some label corrections afterwards.</t>
  </si>
  <si>
    <t>Deep White's Press effort</t>
  </si>
  <si>
    <t>guesstimate of the journalists they engaged and their costs</t>
  </si>
  <si>
    <t>Their plan was to pay for 10 journalists to follow the EPSC and write stories.</t>
  </si>
  <si>
    <t>My contributions to Deep White stories</t>
  </si>
  <si>
    <t>Total cost of Local press</t>
  </si>
  <si>
    <t>Met with Deep White and gave a presentation, I corrected their Latvian space press release, I suggested scientists to interview, I suggested journalists</t>
  </si>
  <si>
    <t>Paid by SpaceTEM. Involved them in the Early Career Poster sessions (multiple management meetings included them). Gave SpaceTEM invoice information to Copernicus. Tried to solve LU EPSC SpaceTEM accounting issues.</t>
  </si>
  <si>
    <t xml:space="preserve">Discussed with LOC inlate December and early 2017 meetings. </t>
  </si>
  <si>
    <t>Wrote the EPSC parts into the SpaceTEM proposal when it was being developed.</t>
  </si>
  <si>
    <t>Total of Baltic Scientific Involvement</t>
  </si>
  <si>
    <t>Involving Young People working with Copernicus</t>
  </si>
  <si>
    <t>Advertising and Follow up</t>
  </si>
  <si>
    <t>Copernicus hirees</t>
  </si>
  <si>
    <t>Guestimate of salaries (300 Eur each)</t>
  </si>
  <si>
    <t>Six yong people were hired by Copernicus.</t>
  </si>
  <si>
    <t xml:space="preserve">Discussions with Mario for qualities needed, I set up an advertising page, I advertised on FB pages and through Slava at LU, follow-up. </t>
  </si>
  <si>
    <t>Total of Baltic people working on the conference floor</t>
  </si>
  <si>
    <t>Discussions with EPSC for financial support through Europlanet bursories. We included Ukraine and all ages.</t>
  </si>
  <si>
    <t>Total of Effort for Financial affordability for the Baltic people.</t>
  </si>
  <si>
    <t>Long discussions lasting over one month with EPSC Board about the (high) registration fee and salaries in Eastern Europe. I provided data and tried for a discussion in email. Didn't work.  Finally we had two telecons and discussed in realtime.</t>
  </si>
  <si>
    <t>Project Development Time</t>
  </si>
  <si>
    <t xml:space="preserve">Visited Restaurants in advance </t>
  </si>
  <si>
    <t>Visited restaurants (10) in advance to give a heads-up about large number of customers in the following week.</t>
  </si>
  <si>
    <t>Developed the Guide with research on the restaurants (querying my friends, reading reviews, gathering contact info). I created an open Google map with restaraunt names, accessible publicly. The map and the restaurant description list was linked at the Copernicus web site.</t>
  </si>
  <si>
    <t>Total of Effort for Restaurant Guide</t>
  </si>
  <si>
    <t>direct contribution to me</t>
  </si>
  <si>
    <t>Riga Transportation Guide</t>
  </si>
  <si>
    <t>Total of Effort for Transportation Guide</t>
  </si>
  <si>
    <t>Developed the Guide with gathering personal and web information for methods of transportation from the airport to hotels and around Riga.</t>
  </si>
  <si>
    <t>European Commision "Bridge the Latvian STEM Gap Report</t>
  </si>
  <si>
    <t xml:space="preserve">My writing the report </t>
  </si>
  <si>
    <t>Met the European Commission (esp. Martins Zemitis), iterated on the E.C. Proposal. Registered BinS (150 Eur) at this time, deciding against Estonia for the near term, and provided legal information to the E.C.</t>
  </si>
  <si>
    <t>Contribution of others</t>
  </si>
  <si>
    <t>Total # of people involved in  LOC mtgs, then Mmgt mtgs</t>
  </si>
  <si>
    <t>total contribution by others</t>
  </si>
  <si>
    <t>Prepared the LOC (10 days in 2016, travel and development of huge spreadsheet with Open University of all Baltic contacts), prepared for and then ran the LOC meeting in December 2016, had one teleconference in January. After then,wrote several/month status reports and focused on immediate EPSC management board meetings every Friday. Payment from EC, in "Bridge the Latvian STEM Gap" contract.</t>
  </si>
  <si>
    <t>Total number of people including the fund-raising effort</t>
  </si>
  <si>
    <t>Total number of People Involved w/o Fund-raising portion</t>
  </si>
  <si>
    <t>NET cost of fund-raising</t>
  </si>
  <si>
    <t>My NET of Effort fpr Bridge the Latvian STEM Gap Report</t>
  </si>
  <si>
    <t>To be paid *to me* by the E.C.</t>
  </si>
  <si>
    <t>My Net total cost of streaming</t>
  </si>
  <si>
    <t>My Net total cost of Space Facilities Booklet part</t>
  </si>
  <si>
    <t>170. Paid *to me* by EC Latvia Rep</t>
  </si>
  <si>
    <t>My Net Total Cost of LOC Meetings</t>
  </si>
  <si>
    <t>My # of days</t>
  </si>
  <si>
    <t>EPSC 2017 Riga SUM Totals</t>
  </si>
  <si>
    <r>
      <t xml:space="preserve">^My Number of </t>
    </r>
    <r>
      <rPr>
        <b/>
        <sz val="12"/>
        <color theme="1"/>
        <rFont val="Calibri"/>
        <family val="2"/>
        <scheme val="minor"/>
      </rPr>
      <t>days</t>
    </r>
    <r>
      <rPr>
        <sz val="12"/>
        <color theme="1"/>
        <rFont val="Calibri"/>
        <family val="2"/>
        <scheme val="minor"/>
      </rPr>
      <t xml:space="preserve"> on EPSC 2017 Riga</t>
    </r>
  </si>
  <si>
    <t>^Total EPSC 2017 LOC Cost carried by Amara Graps</t>
  </si>
  <si>
    <t>^Total *to-me* sponsorship</t>
  </si>
  <si>
    <t>^Total EPSC 2017 Riga LOC In-kind sponsorships</t>
  </si>
  <si>
    <t>^My Cost in Time for the parts</t>
  </si>
  <si>
    <t>^Total Cost of LOC work @ EPSC 2017 Riga</t>
  </si>
  <si>
    <r>
      <t xml:space="preserve">I priced the EPSC2017 Riga  assets, developed a sponsorship document, made contact with Swedbank and Nordea and HansaMatrix. I sent sponsor links to the sponsor doc around to about 10 different technology and space businesses and invited their participation. </t>
    </r>
    <r>
      <rPr>
        <b/>
        <sz val="12"/>
        <color theme="1"/>
        <rFont val="Calibri"/>
        <family val="2"/>
        <scheme val="minor"/>
      </rPr>
      <t>PSI become a sponsor at the 'terrestrial level' (1500).</t>
    </r>
    <r>
      <rPr>
        <sz val="12"/>
        <color theme="1"/>
        <rFont val="Calibri"/>
        <family val="2"/>
        <scheme val="minor"/>
      </rPr>
      <t xml:space="preserve"> I gathered detailed information (logo, company info, links to website) of the EPSC in-kind and direct sponsors for both the EPSC website and for the back of the Programme book. </t>
    </r>
    <r>
      <rPr>
        <b/>
        <sz val="12"/>
        <color theme="1"/>
        <rFont val="Calibri"/>
        <family val="2"/>
        <scheme val="minor"/>
      </rPr>
      <t>FMI became a direct sponsor (3000) to me too</t>
    </r>
    <r>
      <rPr>
        <sz val="12"/>
        <color theme="1"/>
        <rFont val="Calibri"/>
        <family val="2"/>
        <scheme val="minor"/>
      </rPr>
      <t>.</t>
    </r>
  </si>
  <si>
    <t>Sandra Kropa, IR, Mike Collier (interviewed me) SestDiena…  Anita's costs are covered by Europlanet (sort of)</t>
  </si>
  <si>
    <t>E. Scientist bursaries support</t>
  </si>
  <si>
    <t>*Grapa Paid by LMT*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</si>
</sst>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00"/>
  </numFmts>
  <fonts count="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scheme val="minor"/>
    </font>
    <font>
      <b/>
      <sz val="12"/>
      <color rgb="FFFF0000"/>
      <name val="Calibri"/>
      <scheme val="minor"/>
    </font>
    <font>
      <sz val="8"/>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11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9">
    <xf numFmtId="0" fontId="0" fillId="0" borderId="0" xfId="0"/>
    <xf numFmtId="164" fontId="0" fillId="0" borderId="0" xfId="0" applyNumberFormat="1"/>
    <xf numFmtId="164" fontId="0" fillId="0" borderId="0" xfId="0" applyNumberFormat="1" applyAlignment="1">
      <alignment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0" xfId="0" applyFont="1"/>
    <xf numFmtId="0" fontId="0" fillId="0" borderId="0" xfId="0" applyFont="1"/>
    <xf numFmtId="49" fontId="0" fillId="0" borderId="0" xfId="0" applyNumberFormat="1" applyAlignment="1">
      <alignment wrapText="1"/>
    </xf>
    <xf numFmtId="0" fontId="0" fillId="2" borderId="0" xfId="0" applyFill="1"/>
    <xf numFmtId="164" fontId="0" fillId="2" borderId="0" xfId="0" applyNumberFormat="1" applyFill="1"/>
    <xf numFmtId="164" fontId="0" fillId="2" borderId="0" xfId="0" applyNumberFormat="1" applyFill="1" applyAlignment="1">
      <alignment wrapText="1"/>
    </xf>
    <xf numFmtId="0" fontId="0" fillId="2" borderId="0" xfId="0" applyFill="1" applyAlignment="1">
      <alignment wrapText="1"/>
    </xf>
    <xf numFmtId="164" fontId="1" fillId="0" borderId="1" xfId="0" applyNumberFormat="1" applyFont="1" applyBorder="1"/>
    <xf numFmtId="0" fontId="0" fillId="0" borderId="2" xfId="0" applyBorder="1" applyAlignment="1">
      <alignment wrapText="1"/>
    </xf>
    <xf numFmtId="164" fontId="0" fillId="0" borderId="2" xfId="0" applyNumberFormat="1" applyBorder="1" applyAlignment="1">
      <alignment wrapText="1"/>
    </xf>
    <xf numFmtId="164" fontId="0" fillId="0" borderId="1" xfId="0" applyNumberFormat="1" applyBorder="1"/>
    <xf numFmtId="0" fontId="0" fillId="0" borderId="0" xfId="0" applyBorder="1" applyAlignment="1">
      <alignment wrapText="1"/>
    </xf>
    <xf numFmtId="0" fontId="0" fillId="2" borderId="0" xfId="0" applyFill="1" applyBorder="1" applyAlignment="1">
      <alignment wrapText="1"/>
    </xf>
    <xf numFmtId="0" fontId="0" fillId="0" borderId="2" xfId="0" applyBorder="1"/>
    <xf numFmtId="164" fontId="0" fillId="0" borderId="0" xfId="0" applyNumberFormat="1" applyBorder="1" applyAlignment="1">
      <alignment wrapText="1"/>
    </xf>
    <xf numFmtId="164" fontId="0" fillId="2" borderId="0" xfId="0" applyNumberFormat="1" applyFill="1" applyBorder="1" applyAlignment="1">
      <alignment wrapText="1"/>
    </xf>
    <xf numFmtId="164" fontId="0" fillId="0" borderId="3" xfId="0" applyNumberFormat="1" applyBorder="1"/>
    <xf numFmtId="164" fontId="0" fillId="0" borderId="4" xfId="0" applyNumberFormat="1" applyBorder="1"/>
    <xf numFmtId="0" fontId="1" fillId="0" borderId="5" xfId="0" applyFont="1" applyBorder="1" applyAlignment="1">
      <alignment wrapText="1"/>
    </xf>
    <xf numFmtId="0" fontId="1" fillId="0" borderId="6" xfId="0" applyFont="1" applyBorder="1"/>
    <xf numFmtId="0" fontId="1" fillId="0" borderId="0" xfId="0" applyFont="1" applyBorder="1" applyAlignment="1">
      <alignment wrapText="1"/>
    </xf>
    <xf numFmtId="0" fontId="1" fillId="0" borderId="0" xfId="0" applyFont="1" applyBorder="1"/>
    <xf numFmtId="0" fontId="1" fillId="2" borderId="0" xfId="0" applyFont="1" applyFill="1" applyBorder="1" applyAlignment="1">
      <alignment wrapText="1"/>
    </xf>
    <xf numFmtId="0" fontId="1" fillId="2" borderId="0" xfId="0" applyFont="1" applyFill="1" applyBorder="1"/>
    <xf numFmtId="164" fontId="0" fillId="0" borderId="2" xfId="0" applyNumberFormat="1" applyBorder="1" applyAlignment="1"/>
    <xf numFmtId="164" fontId="1" fillId="0" borderId="1" xfId="0" applyNumberFormat="1" applyFont="1" applyBorder="1" applyAlignment="1"/>
    <xf numFmtId="0" fontId="0" fillId="0" borderId="0" xfId="0" applyBorder="1"/>
    <xf numFmtId="0" fontId="0" fillId="2" borderId="0" xfId="0" applyFill="1" applyBorder="1"/>
    <xf numFmtId="49" fontId="0" fillId="0" borderId="2" xfId="0" applyNumberFormat="1" applyBorder="1" applyAlignment="1">
      <alignment wrapText="1"/>
    </xf>
    <xf numFmtId="49" fontId="0" fillId="0" borderId="0" xfId="0" applyNumberFormat="1" applyBorder="1" applyAlignment="1">
      <alignment wrapText="1"/>
    </xf>
    <xf numFmtId="49" fontId="0" fillId="2" borderId="0" xfId="0" applyNumberFormat="1" applyFill="1" applyBorder="1" applyAlignment="1">
      <alignment wrapText="1"/>
    </xf>
    <xf numFmtId="0" fontId="0" fillId="0" borderId="1" xfId="0" applyBorder="1"/>
    <xf numFmtId="164" fontId="0" fillId="0" borderId="2" xfId="0" applyNumberFormat="1" applyBorder="1"/>
    <xf numFmtId="164" fontId="1" fillId="0" borderId="4" xfId="0" applyNumberFormat="1" applyFont="1" applyBorder="1"/>
    <xf numFmtId="0" fontId="0" fillId="0" borderId="7" xfId="0" applyBorder="1"/>
    <xf numFmtId="164" fontId="0" fillId="0" borderId="0" xfId="0" applyNumberFormat="1" applyFont="1" applyBorder="1"/>
    <xf numFmtId="0" fontId="4" fillId="3" borderId="0" xfId="0" applyFont="1" applyFill="1"/>
    <xf numFmtId="0" fontId="5" fillId="3" borderId="0" xfId="0" applyFont="1" applyFill="1"/>
    <xf numFmtId="164" fontId="1" fillId="3" borderId="0" xfId="0" applyNumberFormat="1" applyFont="1" applyFill="1"/>
    <xf numFmtId="0" fontId="0" fillId="3" borderId="0" xfId="0" applyFill="1"/>
    <xf numFmtId="0" fontId="1" fillId="3" borderId="0" xfId="0" applyFont="1" applyFill="1" applyAlignment="1">
      <alignment wrapText="1"/>
    </xf>
    <xf numFmtId="0" fontId="0" fillId="3" borderId="0" xfId="0" applyFill="1" applyAlignment="1">
      <alignment wrapText="1"/>
    </xf>
    <xf numFmtId="0" fontId="1" fillId="3" borderId="0" xfId="0" applyFont="1" applyFill="1"/>
  </cellXfs>
  <cellStyles count="1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tabSelected="1" workbookViewId="0">
      <selection activeCell="G117" sqref="G117"/>
    </sheetView>
  </sheetViews>
  <sheetFormatPr baseColWidth="10" defaultRowHeight="15" x14ac:dyDescent="0"/>
  <cols>
    <col min="1" max="1" width="20.5" customWidth="1"/>
    <col min="5" max="5" width="16.83203125" style="1" customWidth="1"/>
    <col min="6" max="6" width="19.1640625" style="2" customWidth="1"/>
    <col min="7" max="7" width="33.33203125" customWidth="1"/>
    <col min="8" max="8" width="16.5" customWidth="1"/>
    <col min="9" max="9" width="13.1640625" customWidth="1"/>
    <col min="10" max="10" width="13.5" customWidth="1"/>
    <col min="11" max="11" width="14.1640625" customWidth="1"/>
    <col min="12" max="12" width="20.1640625" customWidth="1"/>
  </cols>
  <sheetData>
    <row r="1" spans="1:12" ht="30">
      <c r="C1" s="3" t="s">
        <v>12</v>
      </c>
      <c r="D1" t="s">
        <v>0</v>
      </c>
      <c r="E1" s="2" t="s">
        <v>4</v>
      </c>
      <c r="F1" s="2" t="s">
        <v>5</v>
      </c>
      <c r="G1" s="3" t="s">
        <v>2</v>
      </c>
      <c r="H1" s="3" t="s">
        <v>3</v>
      </c>
      <c r="I1" s="3" t="s">
        <v>6</v>
      </c>
      <c r="J1" s="4" t="s">
        <v>18</v>
      </c>
      <c r="K1" s="4" t="s">
        <v>19</v>
      </c>
      <c r="L1" s="4" t="s">
        <v>54</v>
      </c>
    </row>
    <row r="4" spans="1:12" ht="180">
      <c r="A4" s="4" t="s">
        <v>65</v>
      </c>
      <c r="C4">
        <v>200</v>
      </c>
      <c r="D4">
        <v>30</v>
      </c>
      <c r="E4" s="1">
        <f>D4*C4</f>
        <v>6000</v>
      </c>
      <c r="F4" s="2">
        <v>1183</v>
      </c>
      <c r="G4" s="3" t="s">
        <v>189</v>
      </c>
      <c r="H4">
        <v>25</v>
      </c>
      <c r="I4" s="1">
        <f>F4-E4</f>
        <v>-4817</v>
      </c>
      <c r="J4" s="1"/>
      <c r="K4" s="1">
        <f>-1*E4</f>
        <v>-6000</v>
      </c>
      <c r="L4" s="1">
        <f>F4-E4</f>
        <v>-4817</v>
      </c>
    </row>
    <row r="5" spans="1:12" ht="45">
      <c r="A5" s="3" t="s">
        <v>67</v>
      </c>
      <c r="E5" s="1">
        <f>4*30</f>
        <v>120</v>
      </c>
      <c r="F5" s="2">
        <v>0</v>
      </c>
      <c r="I5" s="1">
        <f>F5-E5</f>
        <v>-120</v>
      </c>
      <c r="K5" s="1">
        <f t="shared" ref="K5:K6" si="0">-1*E5</f>
        <v>-120</v>
      </c>
      <c r="L5" s="41">
        <f>I5</f>
        <v>-120</v>
      </c>
    </row>
    <row r="6" spans="1:12" ht="30">
      <c r="A6" s="3" t="s">
        <v>66</v>
      </c>
      <c r="E6" s="1">
        <v>110</v>
      </c>
      <c r="F6" s="2">
        <v>0</v>
      </c>
      <c r="I6" s="1">
        <f>F6-E6</f>
        <v>-110</v>
      </c>
      <c r="K6" s="1">
        <f t="shared" si="0"/>
        <v>-110</v>
      </c>
      <c r="L6" s="20">
        <f>I6</f>
        <v>-110</v>
      </c>
    </row>
    <row r="7" spans="1:12">
      <c r="H7" s="37">
        <f>25</f>
        <v>25</v>
      </c>
      <c r="J7" s="16">
        <f>SUM(J4:J6)</f>
        <v>0</v>
      </c>
      <c r="K7" s="1">
        <f>SUM(K4:K6)</f>
        <v>-6230</v>
      </c>
      <c r="L7" s="13">
        <f>J7+ABS(K7)</f>
        <v>6230</v>
      </c>
    </row>
    <row r="8" spans="1:12" ht="60">
      <c r="D8">
        <f>SUM(D4:D6)</f>
        <v>30</v>
      </c>
      <c r="H8" s="14" t="s">
        <v>187</v>
      </c>
      <c r="I8" s="1">
        <f>SUM(I4:I6)</f>
        <v>-5047</v>
      </c>
      <c r="J8" s="14" t="s">
        <v>188</v>
      </c>
      <c r="K8" s="1" t="s">
        <v>80</v>
      </c>
      <c r="L8" s="19" t="s">
        <v>198</v>
      </c>
    </row>
    <row r="9" spans="1:12">
      <c r="A9" s="9"/>
      <c r="B9" s="9"/>
      <c r="C9" s="9"/>
      <c r="D9" s="9"/>
      <c r="E9" s="10"/>
      <c r="F9" s="11"/>
      <c r="G9" s="9"/>
      <c r="H9" s="9"/>
      <c r="I9" s="10"/>
      <c r="J9" s="9"/>
      <c r="K9" s="10"/>
      <c r="L9" s="9"/>
    </row>
    <row r="10" spans="1:12">
      <c r="D10" t="s">
        <v>199</v>
      </c>
      <c r="I10" s="1"/>
      <c r="K10" s="1"/>
    </row>
    <row r="11" spans="1:12" ht="30">
      <c r="A11" s="4" t="s">
        <v>1</v>
      </c>
    </row>
    <row r="12" spans="1:12" ht="45">
      <c r="A12" t="s">
        <v>7</v>
      </c>
      <c r="C12" t="s">
        <v>10</v>
      </c>
      <c r="D12">
        <v>1</v>
      </c>
      <c r="E12" s="1">
        <f>D12*C4</f>
        <v>200</v>
      </c>
      <c r="F12" s="2">
        <v>1180</v>
      </c>
      <c r="G12" s="3" t="s">
        <v>62</v>
      </c>
      <c r="H12">
        <v>1</v>
      </c>
      <c r="I12" s="1">
        <f>F12-E12</f>
        <v>980</v>
      </c>
      <c r="J12" s="1">
        <f>F12</f>
        <v>1180</v>
      </c>
      <c r="K12" s="1">
        <f>-E12</f>
        <v>-200</v>
      </c>
    </row>
    <row r="13" spans="1:12" ht="30">
      <c r="A13" t="s">
        <v>36</v>
      </c>
      <c r="C13" t="s">
        <v>10</v>
      </c>
      <c r="D13">
        <v>2</v>
      </c>
      <c r="E13" s="1">
        <f>D13*C4</f>
        <v>400</v>
      </c>
      <c r="F13" s="2">
        <v>5000</v>
      </c>
      <c r="G13" s="3" t="s">
        <v>59</v>
      </c>
      <c r="H13">
        <v>1</v>
      </c>
      <c r="I13" s="1">
        <f t="shared" ref="I13:I16" si="1">F13-E13</f>
        <v>4600</v>
      </c>
      <c r="J13" s="1">
        <f>F13</f>
        <v>5000</v>
      </c>
      <c r="K13" s="1">
        <f>-E13</f>
        <v>-400</v>
      </c>
    </row>
    <row r="14" spans="1:12" ht="45">
      <c r="A14" t="s">
        <v>8</v>
      </c>
      <c r="C14" t="s">
        <v>10</v>
      </c>
      <c r="D14">
        <v>2</v>
      </c>
      <c r="E14" s="1">
        <f>D14*C4</f>
        <v>400</v>
      </c>
      <c r="F14" s="2">
        <v>2500</v>
      </c>
      <c r="G14" s="5" t="s">
        <v>61</v>
      </c>
      <c r="H14">
        <v>1</v>
      </c>
      <c r="I14" s="1">
        <f>F14-E14</f>
        <v>2100</v>
      </c>
      <c r="J14" s="1">
        <f>F14</f>
        <v>2500</v>
      </c>
      <c r="K14" s="1">
        <f>-E14</f>
        <v>-400</v>
      </c>
    </row>
    <row r="15" spans="1:12" ht="30">
      <c r="A15" t="s">
        <v>9</v>
      </c>
      <c r="C15" t="s">
        <v>11</v>
      </c>
      <c r="D15">
        <v>2</v>
      </c>
      <c r="E15" s="1">
        <f>D15*C4</f>
        <v>400</v>
      </c>
      <c r="F15" s="2">
        <v>0</v>
      </c>
      <c r="G15" s="5" t="s">
        <v>63</v>
      </c>
      <c r="H15">
        <v>0</v>
      </c>
      <c r="I15" s="1">
        <f t="shared" si="1"/>
        <v>-400</v>
      </c>
      <c r="K15" s="1">
        <f>-E15</f>
        <v>-400</v>
      </c>
    </row>
    <row r="16" spans="1:12" ht="30">
      <c r="A16" t="s">
        <v>37</v>
      </c>
      <c r="C16" t="s">
        <v>10</v>
      </c>
      <c r="D16">
        <v>2</v>
      </c>
      <c r="E16" s="1">
        <f>D16*C4</f>
        <v>400</v>
      </c>
      <c r="F16" s="2">
        <v>1500</v>
      </c>
      <c r="G16" s="8" t="s">
        <v>58</v>
      </c>
      <c r="H16">
        <v>1</v>
      </c>
      <c r="I16" s="1">
        <f t="shared" si="1"/>
        <v>1100</v>
      </c>
      <c r="J16" s="1">
        <f>F16</f>
        <v>1500</v>
      </c>
      <c r="K16" s="1">
        <f>-E16</f>
        <v>-400</v>
      </c>
      <c r="L16" s="3"/>
    </row>
    <row r="17" spans="1:13">
      <c r="A17" t="s">
        <v>14</v>
      </c>
      <c r="C17" t="s">
        <v>11</v>
      </c>
      <c r="D17">
        <v>1</v>
      </c>
      <c r="E17" s="1">
        <f>D17*C4</f>
        <v>200</v>
      </c>
      <c r="F17" s="2">
        <v>0</v>
      </c>
      <c r="G17" s="3" t="s">
        <v>64</v>
      </c>
      <c r="H17">
        <v>0</v>
      </c>
      <c r="I17" s="1">
        <f>F17-E17</f>
        <v>-200</v>
      </c>
      <c r="K17" s="1">
        <f>-E17</f>
        <v>-200</v>
      </c>
    </row>
    <row r="19" spans="1:13">
      <c r="K19" s="1"/>
    </row>
    <row r="20" spans="1:13">
      <c r="G20" s="1"/>
      <c r="K20" s="1">
        <f>SUM(K12:K17)</f>
        <v>-2000</v>
      </c>
      <c r="L20" s="1"/>
    </row>
    <row r="21" spans="1:13">
      <c r="G21" s="1"/>
      <c r="H21" s="37">
        <f>SUM(H12:H17)</f>
        <v>4</v>
      </c>
      <c r="I21" s="1">
        <f>SUM(I11:I17)</f>
        <v>8180</v>
      </c>
      <c r="J21" s="16">
        <f>SUM(F12:F26)</f>
        <v>11180</v>
      </c>
      <c r="K21" s="16">
        <f>-1*SUM(E12:E17)</f>
        <v>-2000</v>
      </c>
      <c r="L21" s="13">
        <f>J21+ABS(K21)</f>
        <v>13180</v>
      </c>
    </row>
    <row r="22" spans="1:13" ht="75">
      <c r="D22">
        <f>SUM(D12:D17)</f>
        <v>10</v>
      </c>
      <c r="H22" s="14" t="s">
        <v>103</v>
      </c>
      <c r="I22" s="1"/>
      <c r="J22" s="14" t="s">
        <v>79</v>
      </c>
      <c r="K22" s="38" t="s">
        <v>80</v>
      </c>
      <c r="L22" s="14" t="s">
        <v>81</v>
      </c>
    </row>
    <row r="23" spans="1:13">
      <c r="A23" s="9"/>
      <c r="B23" s="9"/>
      <c r="C23" s="9"/>
      <c r="D23" s="9"/>
      <c r="E23" s="10"/>
      <c r="F23" s="11"/>
      <c r="G23" s="9"/>
      <c r="H23" s="12"/>
      <c r="I23" s="10"/>
      <c r="J23" s="12"/>
      <c r="K23" s="10"/>
      <c r="L23" s="12"/>
    </row>
    <row r="24" spans="1:13">
      <c r="H24" s="3"/>
      <c r="I24" s="1"/>
      <c r="J24" s="3"/>
      <c r="K24" s="1"/>
      <c r="L24" s="3"/>
    </row>
    <row r="25" spans="1:13">
      <c r="A25" s="6" t="s">
        <v>68</v>
      </c>
      <c r="I25" s="1"/>
      <c r="K25" s="1"/>
    </row>
    <row r="26" spans="1:13">
      <c r="A26" s="7" t="s">
        <v>13</v>
      </c>
      <c r="C26" t="s">
        <v>10</v>
      </c>
      <c r="D26">
        <v>1</v>
      </c>
      <c r="E26" s="1">
        <f>D26*C4</f>
        <v>200</v>
      </c>
      <c r="F26" s="2">
        <v>1000</v>
      </c>
      <c r="G26" s="3" t="s">
        <v>60</v>
      </c>
      <c r="H26">
        <v>1</v>
      </c>
      <c r="I26" s="1">
        <f>F26-E26</f>
        <v>800</v>
      </c>
      <c r="J26" s="1">
        <f>F26</f>
        <v>1000</v>
      </c>
      <c r="K26" s="1">
        <f>-E26</f>
        <v>-200</v>
      </c>
    </row>
    <row r="27" spans="1:13" ht="60">
      <c r="A27" t="s">
        <v>69</v>
      </c>
      <c r="C27" t="s">
        <v>57</v>
      </c>
      <c r="D27">
        <v>5</v>
      </c>
      <c r="E27" s="1">
        <f>D27*C4</f>
        <v>1000</v>
      </c>
      <c r="F27" s="2">
        <v>0</v>
      </c>
      <c r="G27" s="3" t="s">
        <v>73</v>
      </c>
      <c r="H27">
        <v>0</v>
      </c>
      <c r="I27" s="1">
        <f>F27-E27</f>
        <v>-1000</v>
      </c>
      <c r="J27">
        <v>0</v>
      </c>
      <c r="K27" s="1">
        <f>-E27</f>
        <v>-1000</v>
      </c>
    </row>
    <row r="28" spans="1:13" ht="90">
      <c r="A28" t="s">
        <v>70</v>
      </c>
      <c r="C28" t="s">
        <v>10</v>
      </c>
      <c r="D28">
        <v>1</v>
      </c>
      <c r="E28" s="1">
        <f>D28*C4</f>
        <v>200</v>
      </c>
      <c r="F28" s="2">
        <v>100</v>
      </c>
      <c r="G28" s="3" t="s">
        <v>84</v>
      </c>
      <c r="H28">
        <v>2</v>
      </c>
      <c r="I28" s="1">
        <f>F28-E28</f>
        <v>-100</v>
      </c>
      <c r="J28" s="1">
        <f>F28</f>
        <v>100</v>
      </c>
      <c r="K28" s="1">
        <f>-1*E28</f>
        <v>-200</v>
      </c>
    </row>
    <row r="29" spans="1:13" ht="105">
      <c r="A29" t="s">
        <v>71</v>
      </c>
      <c r="C29" t="s">
        <v>10</v>
      </c>
      <c r="D29">
        <v>2</v>
      </c>
      <c r="E29" s="1">
        <f>D29*C4</f>
        <v>400</v>
      </c>
      <c r="F29" s="2">
        <v>300</v>
      </c>
      <c r="G29" s="3" t="s">
        <v>85</v>
      </c>
      <c r="H29">
        <v>2</v>
      </c>
      <c r="I29" s="1">
        <f>F29-E29</f>
        <v>-100</v>
      </c>
      <c r="J29" s="1">
        <f>F29</f>
        <v>300</v>
      </c>
      <c r="K29" s="1">
        <f>-1*E29</f>
        <v>-400</v>
      </c>
    </row>
    <row r="30" spans="1:13" ht="120">
      <c r="A30" t="s">
        <v>72</v>
      </c>
      <c r="C30" t="s">
        <v>10</v>
      </c>
      <c r="D30">
        <v>8</v>
      </c>
      <c r="E30" s="1">
        <f>D30*C4</f>
        <v>1600</v>
      </c>
      <c r="F30" s="2">
        <v>1320</v>
      </c>
      <c r="G30" s="3" t="s">
        <v>74</v>
      </c>
      <c r="H30">
        <v>1</v>
      </c>
      <c r="I30" s="1">
        <f>F30-E30</f>
        <v>-280</v>
      </c>
      <c r="J30" s="1">
        <f>F30</f>
        <v>1320</v>
      </c>
      <c r="K30" s="1">
        <f>-1*E30</f>
        <v>-1600</v>
      </c>
      <c r="L30" s="3"/>
    </row>
    <row r="31" spans="1:13" ht="30">
      <c r="A31" t="s">
        <v>75</v>
      </c>
      <c r="C31" t="s">
        <v>10</v>
      </c>
      <c r="D31">
        <v>0</v>
      </c>
      <c r="E31" s="1">
        <v>0</v>
      </c>
      <c r="F31" s="2">
        <v>50</v>
      </c>
      <c r="G31" s="3" t="s">
        <v>76</v>
      </c>
      <c r="H31">
        <v>0</v>
      </c>
      <c r="I31" s="1">
        <f>F31-E31</f>
        <v>50</v>
      </c>
      <c r="J31" s="1">
        <f>F31</f>
        <v>50</v>
      </c>
      <c r="K31" s="1">
        <v>0</v>
      </c>
    </row>
    <row r="32" spans="1:13" ht="30">
      <c r="A32" t="s">
        <v>77</v>
      </c>
      <c r="C32" t="s">
        <v>10</v>
      </c>
      <c r="D32">
        <v>0</v>
      </c>
      <c r="E32" s="1">
        <v>0</v>
      </c>
      <c r="F32" s="2">
        <v>50</v>
      </c>
      <c r="G32" s="3" t="s">
        <v>78</v>
      </c>
      <c r="H32">
        <v>1</v>
      </c>
      <c r="I32" s="1">
        <f>F32-E32</f>
        <v>50</v>
      </c>
      <c r="J32" s="1">
        <f>F32</f>
        <v>50</v>
      </c>
      <c r="K32" s="1">
        <v>0</v>
      </c>
      <c r="M32" s="3"/>
    </row>
    <row r="33" spans="1:12">
      <c r="H33" s="37">
        <f>SUM(H26:H32)</f>
        <v>7</v>
      </c>
      <c r="I33" s="1"/>
      <c r="J33" s="16">
        <f>SUM(J26:J32)</f>
        <v>2820</v>
      </c>
      <c r="K33" s="16">
        <f>SUM(K26:K32)</f>
        <v>-3400</v>
      </c>
      <c r="L33" s="13">
        <f>J33+ABS(K33)</f>
        <v>6220</v>
      </c>
    </row>
    <row r="34" spans="1:12" ht="90">
      <c r="D34">
        <f>SUM(D26:D32)</f>
        <v>17</v>
      </c>
      <c r="H34" s="14" t="s">
        <v>104</v>
      </c>
      <c r="J34" s="14" t="s">
        <v>83</v>
      </c>
      <c r="K34" s="19" t="s">
        <v>80</v>
      </c>
      <c r="L34" s="15" t="s">
        <v>82</v>
      </c>
    </row>
    <row r="35" spans="1:12">
      <c r="A35" s="9"/>
      <c r="B35" s="9"/>
      <c r="C35" s="9"/>
      <c r="D35" s="9"/>
      <c r="E35" s="10"/>
      <c r="F35" s="11"/>
      <c r="G35" s="9"/>
      <c r="H35" s="9"/>
      <c r="I35" s="9"/>
      <c r="J35" s="9"/>
      <c r="K35" s="9"/>
      <c r="L35" s="9"/>
    </row>
    <row r="38" spans="1:12">
      <c r="A38" s="6" t="s">
        <v>15</v>
      </c>
      <c r="L38" s="3"/>
    </row>
    <row r="39" spans="1:12">
      <c r="A39" t="s">
        <v>16</v>
      </c>
      <c r="D39">
        <v>1</v>
      </c>
      <c r="E39" s="1">
        <f>D39*C4</f>
        <v>200</v>
      </c>
      <c r="F39" s="2">
        <v>0</v>
      </c>
      <c r="H39">
        <v>1</v>
      </c>
      <c r="I39" s="1">
        <f>F39-E39</f>
        <v>-200</v>
      </c>
    </row>
    <row r="40" spans="1:12">
      <c r="A40" t="s">
        <v>105</v>
      </c>
      <c r="E40" s="1">
        <v>0</v>
      </c>
      <c r="F40" s="2">
        <v>1150</v>
      </c>
      <c r="H40">
        <v>4</v>
      </c>
      <c r="I40" s="1">
        <f>F40</f>
        <v>1150</v>
      </c>
    </row>
    <row r="41" spans="1:12">
      <c r="A41" t="s">
        <v>17</v>
      </c>
      <c r="E41" s="1">
        <v>0</v>
      </c>
      <c r="F41" s="2">
        <v>6800</v>
      </c>
      <c r="H41">
        <v>8</v>
      </c>
      <c r="I41" s="1">
        <f>F41</f>
        <v>6800</v>
      </c>
    </row>
    <row r="42" spans="1:12">
      <c r="H42" s="32"/>
      <c r="I42" s="1">
        <f>SUM(I40:I41)</f>
        <v>7950</v>
      </c>
      <c r="J42" s="16">
        <f>I42</f>
        <v>7950</v>
      </c>
    </row>
    <row r="43" spans="1:12">
      <c r="H43" s="37">
        <f>SUM(H40:H41)</f>
        <v>12</v>
      </c>
      <c r="I43" s="1">
        <f>I39</f>
        <v>-200</v>
      </c>
      <c r="J43" s="40"/>
      <c r="K43" s="16">
        <f>I43</f>
        <v>-200</v>
      </c>
      <c r="L43" s="13">
        <f>ABS(K43)+J42</f>
        <v>8150</v>
      </c>
    </row>
    <row r="44" spans="1:12" ht="45">
      <c r="D44">
        <f>SUM(D39:D41)</f>
        <v>1</v>
      </c>
      <c r="H44" s="19" t="s">
        <v>121</v>
      </c>
      <c r="I44" s="1"/>
      <c r="J44" s="14" t="s">
        <v>106</v>
      </c>
      <c r="K44" s="38" t="s">
        <v>80</v>
      </c>
      <c r="L44" s="15" t="s">
        <v>107</v>
      </c>
    </row>
    <row r="45" spans="1:12">
      <c r="A45" s="9"/>
      <c r="B45" s="9"/>
      <c r="C45" s="9"/>
      <c r="D45" s="9"/>
      <c r="E45" s="10"/>
      <c r="F45" s="11"/>
      <c r="G45" s="9"/>
      <c r="H45" s="9"/>
      <c r="I45" s="10"/>
      <c r="J45" s="9"/>
      <c r="K45" s="10"/>
      <c r="L45" s="10"/>
    </row>
    <row r="46" spans="1:12">
      <c r="I46" s="1"/>
      <c r="K46" s="1"/>
      <c r="L46" s="1"/>
    </row>
    <row r="48" spans="1:12">
      <c r="A48" s="6" t="s">
        <v>27</v>
      </c>
    </row>
    <row r="49" spans="1:12">
      <c r="A49" t="s">
        <v>108</v>
      </c>
      <c r="D49">
        <v>20</v>
      </c>
      <c r="E49" s="1">
        <f>D49*C4</f>
        <v>4000</v>
      </c>
      <c r="F49" s="2">
        <v>170</v>
      </c>
      <c r="G49" t="s">
        <v>197</v>
      </c>
      <c r="H49">
        <v>1</v>
      </c>
      <c r="I49" s="1">
        <f>F49-E49</f>
        <v>-3830</v>
      </c>
      <c r="J49" s="1"/>
      <c r="K49" s="1">
        <f>F49-E49</f>
        <v>-3830</v>
      </c>
    </row>
    <row r="50" spans="1:12">
      <c r="A50" t="s">
        <v>20</v>
      </c>
      <c r="E50" s="1">
        <v>730</v>
      </c>
      <c r="F50" s="2">
        <f>E50</f>
        <v>730</v>
      </c>
      <c r="G50" t="s">
        <v>23</v>
      </c>
      <c r="H50">
        <v>1</v>
      </c>
      <c r="I50" s="1">
        <f>F50</f>
        <v>730</v>
      </c>
      <c r="J50" s="1">
        <f t="shared" ref="J50:J62" si="2">F50</f>
        <v>730</v>
      </c>
    </row>
    <row r="51" spans="1:12">
      <c r="A51" t="s">
        <v>87</v>
      </c>
      <c r="E51" s="1">
        <v>1000</v>
      </c>
      <c r="F51" s="2">
        <f>E51</f>
        <v>1000</v>
      </c>
      <c r="G51" t="s">
        <v>22</v>
      </c>
      <c r="H51">
        <v>1</v>
      </c>
      <c r="I51" s="1">
        <f>F51</f>
        <v>1000</v>
      </c>
      <c r="J51" s="1">
        <f t="shared" si="2"/>
        <v>1000</v>
      </c>
    </row>
    <row r="52" spans="1:12">
      <c r="A52" t="s">
        <v>88</v>
      </c>
      <c r="E52" s="1">
        <v>300</v>
      </c>
      <c r="F52" s="2">
        <v>300</v>
      </c>
      <c r="G52" t="s">
        <v>23</v>
      </c>
      <c r="I52" s="1"/>
      <c r="J52" s="1">
        <f t="shared" si="2"/>
        <v>300</v>
      </c>
    </row>
    <row r="53" spans="1:12" ht="30">
      <c r="A53" t="s">
        <v>21</v>
      </c>
      <c r="F53" s="2">
        <v>1000</v>
      </c>
      <c r="G53" t="s">
        <v>22</v>
      </c>
      <c r="H53">
        <v>3</v>
      </c>
      <c r="I53" s="1">
        <v>1000</v>
      </c>
      <c r="J53" s="1">
        <f t="shared" si="2"/>
        <v>1000</v>
      </c>
      <c r="L53" s="3" t="s">
        <v>29</v>
      </c>
    </row>
    <row r="54" spans="1:12" ht="60">
      <c r="A54" s="3" t="s">
        <v>24</v>
      </c>
      <c r="D54">
        <v>15</v>
      </c>
      <c r="E54" s="1">
        <f>D54*C4</f>
        <v>3000</v>
      </c>
      <c r="F54" s="2">
        <v>0</v>
      </c>
      <c r="G54" s="3" t="s">
        <v>86</v>
      </c>
      <c r="H54" s="3"/>
      <c r="I54" s="1">
        <f>F54-E54</f>
        <v>-3000</v>
      </c>
      <c r="J54" s="1">
        <f t="shared" si="2"/>
        <v>0</v>
      </c>
      <c r="K54" s="1"/>
    </row>
    <row r="55" spans="1:12">
      <c r="A55" t="s">
        <v>25</v>
      </c>
      <c r="F55" s="2">
        <v>2400</v>
      </c>
      <c r="G55" t="s">
        <v>22</v>
      </c>
      <c r="H55">
        <v>1</v>
      </c>
      <c r="I55" s="1">
        <f>F55</f>
        <v>2400</v>
      </c>
      <c r="J55" s="1">
        <f t="shared" si="2"/>
        <v>2400</v>
      </c>
      <c r="L55" s="1"/>
    </row>
    <row r="56" spans="1:12">
      <c r="A56" t="s">
        <v>89</v>
      </c>
      <c r="F56" s="2">
        <v>1000</v>
      </c>
      <c r="G56" t="s">
        <v>96</v>
      </c>
      <c r="H56">
        <v>2</v>
      </c>
      <c r="I56" s="1">
        <f>F55</f>
        <v>2400</v>
      </c>
      <c r="J56" s="1">
        <f t="shared" si="2"/>
        <v>1000</v>
      </c>
      <c r="L56" s="1"/>
    </row>
    <row r="57" spans="1:12">
      <c r="A57" t="s">
        <v>90</v>
      </c>
      <c r="F57" s="2">
        <v>1000</v>
      </c>
      <c r="G57" t="s">
        <v>97</v>
      </c>
      <c r="H57">
        <v>2</v>
      </c>
      <c r="I57" s="1">
        <f t="shared" ref="I57:I62" si="3">F56</f>
        <v>1000</v>
      </c>
      <c r="J57" s="1">
        <f t="shared" si="2"/>
        <v>1000</v>
      </c>
      <c r="L57" s="1"/>
    </row>
    <row r="58" spans="1:12">
      <c r="A58" t="s">
        <v>91</v>
      </c>
      <c r="F58" s="2">
        <v>200</v>
      </c>
      <c r="G58" t="s">
        <v>98</v>
      </c>
      <c r="H58">
        <v>1</v>
      </c>
      <c r="I58" s="1">
        <f t="shared" si="3"/>
        <v>1000</v>
      </c>
      <c r="J58" s="1">
        <f t="shared" si="2"/>
        <v>200</v>
      </c>
      <c r="L58" s="1"/>
    </row>
    <row r="59" spans="1:12">
      <c r="A59" t="s">
        <v>92</v>
      </c>
      <c r="F59" s="2">
        <v>200</v>
      </c>
      <c r="G59" t="s">
        <v>99</v>
      </c>
      <c r="H59">
        <v>2</v>
      </c>
      <c r="I59" s="1">
        <f t="shared" si="3"/>
        <v>200</v>
      </c>
      <c r="J59" s="1">
        <f t="shared" si="2"/>
        <v>200</v>
      </c>
      <c r="L59" s="1"/>
    </row>
    <row r="60" spans="1:12">
      <c r="A60" t="s">
        <v>94</v>
      </c>
      <c r="F60" s="2">
        <v>300</v>
      </c>
      <c r="G60" t="s">
        <v>100</v>
      </c>
      <c r="H60">
        <v>2</v>
      </c>
      <c r="I60" s="1">
        <f t="shared" si="3"/>
        <v>200</v>
      </c>
      <c r="J60" s="1">
        <f t="shared" si="2"/>
        <v>300</v>
      </c>
      <c r="L60" s="1"/>
    </row>
    <row r="61" spans="1:12">
      <c r="A61" t="s">
        <v>93</v>
      </c>
      <c r="F61" s="2">
        <v>200</v>
      </c>
      <c r="G61" t="s">
        <v>101</v>
      </c>
      <c r="H61">
        <v>2</v>
      </c>
      <c r="I61" s="1">
        <f t="shared" si="3"/>
        <v>300</v>
      </c>
      <c r="J61" s="1">
        <f t="shared" si="2"/>
        <v>200</v>
      </c>
      <c r="L61" s="1"/>
    </row>
    <row r="62" spans="1:12">
      <c r="A62" t="s">
        <v>95</v>
      </c>
      <c r="F62" s="2">
        <v>200</v>
      </c>
      <c r="G62" t="s">
        <v>102</v>
      </c>
      <c r="H62">
        <v>1</v>
      </c>
      <c r="I62" s="1">
        <f t="shared" si="3"/>
        <v>200</v>
      </c>
      <c r="J62" s="1">
        <f t="shared" si="2"/>
        <v>200</v>
      </c>
      <c r="L62" s="1"/>
    </row>
    <row r="63" spans="1:12">
      <c r="H63" s="37">
        <f>SUM(H49:H62)</f>
        <v>19</v>
      </c>
      <c r="I63" s="1">
        <f>SUM(I49:I62)</f>
        <v>3600</v>
      </c>
      <c r="J63" s="16">
        <f>SUM(J49:J62)</f>
        <v>8530</v>
      </c>
      <c r="K63" s="16">
        <f>I49+I54</f>
        <v>-6830</v>
      </c>
      <c r="L63" s="13">
        <f>ABS(K63)+J63</f>
        <v>15360</v>
      </c>
    </row>
    <row r="64" spans="1:12" ht="45">
      <c r="D64">
        <f>SUM(D49:D63)</f>
        <v>35</v>
      </c>
      <c r="G64" s="1">
        <f>SUM(F56:F62)</f>
        <v>3100</v>
      </c>
      <c r="H64" s="19" t="s">
        <v>109</v>
      </c>
      <c r="I64" s="1"/>
      <c r="J64" s="15" t="s">
        <v>83</v>
      </c>
      <c r="K64" s="19" t="s">
        <v>80</v>
      </c>
      <c r="L64" s="15" t="s">
        <v>196</v>
      </c>
    </row>
    <row r="65" spans="1:12">
      <c r="A65" s="9"/>
      <c r="B65" s="9"/>
      <c r="C65" s="9"/>
      <c r="D65" s="9"/>
      <c r="E65" s="10"/>
      <c r="F65" s="11"/>
      <c r="G65" s="9"/>
      <c r="H65" s="9"/>
      <c r="I65" s="10"/>
      <c r="J65" s="10"/>
      <c r="K65" s="9"/>
      <c r="L65" s="10"/>
    </row>
    <row r="68" spans="1:12">
      <c r="A68" s="6" t="s">
        <v>28</v>
      </c>
    </row>
    <row r="69" spans="1:12" ht="30">
      <c r="A69" t="s">
        <v>35</v>
      </c>
      <c r="F69" s="2">
        <v>25000</v>
      </c>
      <c r="G69" t="s">
        <v>22</v>
      </c>
      <c r="H69">
        <v>4</v>
      </c>
      <c r="J69" s="1">
        <f>F69</f>
        <v>25000</v>
      </c>
      <c r="L69" s="3" t="s">
        <v>30</v>
      </c>
    </row>
    <row r="70" spans="1:12" ht="75">
      <c r="A70" s="3" t="s">
        <v>26</v>
      </c>
      <c r="D70">
        <v>35</v>
      </c>
      <c r="E70" s="1">
        <f>D70*C4</f>
        <v>7000</v>
      </c>
      <c r="F70" s="2">
        <v>0</v>
      </c>
      <c r="G70" s="3" t="s">
        <v>110</v>
      </c>
      <c r="I70" s="1">
        <f>F70-E70</f>
        <v>-7000</v>
      </c>
      <c r="K70" s="1">
        <f>F70-E70</f>
        <v>-7000</v>
      </c>
    </row>
    <row r="71" spans="1:12" ht="60">
      <c r="A71" s="3" t="s">
        <v>111</v>
      </c>
      <c r="E71" s="1">
        <v>0</v>
      </c>
      <c r="F71" s="2">
        <f>2000+4000</f>
        <v>6000</v>
      </c>
      <c r="G71" s="3" t="s">
        <v>115</v>
      </c>
      <c r="H71">
        <v>2</v>
      </c>
      <c r="I71" s="1">
        <f>F71-E71</f>
        <v>6000</v>
      </c>
      <c r="J71" s="1">
        <f>F71</f>
        <v>6000</v>
      </c>
      <c r="K71" s="1"/>
      <c r="L71" s="3" t="s">
        <v>114</v>
      </c>
    </row>
    <row r="72" spans="1:12" ht="60">
      <c r="A72" s="3" t="s">
        <v>112</v>
      </c>
      <c r="D72">
        <v>0.5</v>
      </c>
      <c r="E72" s="1">
        <f>D72*C4</f>
        <v>100</v>
      </c>
      <c r="F72" s="2">
        <v>2500</v>
      </c>
      <c r="G72" s="3" t="s">
        <v>119</v>
      </c>
      <c r="H72">
        <v>3</v>
      </c>
      <c r="I72" s="1">
        <f>F72-E72</f>
        <v>2400</v>
      </c>
      <c r="J72" s="1">
        <f>F72</f>
        <v>2500</v>
      </c>
      <c r="K72" s="1">
        <f>-1*E72</f>
        <v>-100</v>
      </c>
      <c r="L72" s="2" t="s">
        <v>113</v>
      </c>
    </row>
    <row r="73" spans="1:12" ht="90">
      <c r="A73" s="3" t="s">
        <v>116</v>
      </c>
      <c r="D73">
        <v>1</v>
      </c>
      <c r="E73" s="1">
        <f>D73*C4</f>
        <v>200</v>
      </c>
      <c r="F73" s="2">
        <f>500+ 300</f>
        <v>800</v>
      </c>
      <c r="G73" s="3" t="s">
        <v>117</v>
      </c>
      <c r="H73">
        <v>3</v>
      </c>
      <c r="I73" s="1">
        <f>F73-E73</f>
        <v>600</v>
      </c>
      <c r="J73" s="1">
        <v>500</v>
      </c>
      <c r="K73" s="1">
        <f>-1*E73</f>
        <v>-200</v>
      </c>
      <c r="L73" s="2" t="s">
        <v>118</v>
      </c>
    </row>
    <row r="74" spans="1:12" ht="30">
      <c r="A74" s="3" t="s">
        <v>120</v>
      </c>
      <c r="E74" s="1">
        <v>0</v>
      </c>
      <c r="F74" s="2">
        <f>300+1000</f>
        <v>1300</v>
      </c>
      <c r="G74" s="3" t="s">
        <v>122</v>
      </c>
      <c r="H74">
        <v>1</v>
      </c>
      <c r="I74" s="1">
        <f>F74-E74</f>
        <v>1300</v>
      </c>
      <c r="J74" s="1">
        <f>F74</f>
        <v>1300</v>
      </c>
      <c r="K74" s="1"/>
      <c r="L74" s="2" t="s">
        <v>124</v>
      </c>
    </row>
    <row r="75" spans="1:12">
      <c r="A75" s="3"/>
      <c r="H75" s="37">
        <f>SUM(H69:H74)</f>
        <v>13</v>
      </c>
      <c r="J75" s="16">
        <f>SUM(J69:J74)</f>
        <v>35300</v>
      </c>
      <c r="K75" s="16">
        <f>SUM(K70:K74)</f>
        <v>-7300</v>
      </c>
    </row>
    <row r="76" spans="1:12" ht="45">
      <c r="A76" s="3"/>
      <c r="D76">
        <f>SUM(D70:D73)</f>
        <v>36.5</v>
      </c>
      <c r="H76" s="19" t="s">
        <v>121</v>
      </c>
      <c r="J76" s="14" t="s">
        <v>83</v>
      </c>
      <c r="K76" s="19" t="s">
        <v>80</v>
      </c>
      <c r="L76" s="39">
        <f>J75+ABS(K75)</f>
        <v>42600</v>
      </c>
    </row>
    <row r="77" spans="1:12" ht="30">
      <c r="A77" s="3"/>
      <c r="L77" s="14" t="s">
        <v>123</v>
      </c>
    </row>
    <row r="78" spans="1:12">
      <c r="A78" s="12"/>
      <c r="B78" s="9"/>
      <c r="C78" s="9"/>
      <c r="D78" s="9"/>
      <c r="E78" s="10"/>
      <c r="F78" s="11"/>
      <c r="G78" s="9"/>
      <c r="H78" s="9"/>
      <c r="I78" s="9"/>
      <c r="J78" s="9"/>
      <c r="K78" s="9"/>
      <c r="L78" s="18"/>
    </row>
    <row r="79" spans="1:12">
      <c r="A79" s="3"/>
      <c r="L79" s="17"/>
    </row>
    <row r="81" spans="1:12">
      <c r="A81" s="6" t="s">
        <v>32</v>
      </c>
    </row>
    <row r="82" spans="1:12" ht="30">
      <c r="A82" t="s">
        <v>31</v>
      </c>
      <c r="F82" s="2">
        <v>10000</v>
      </c>
      <c r="G82" s="3" t="s">
        <v>131</v>
      </c>
      <c r="H82">
        <v>3</v>
      </c>
      <c r="I82" s="1">
        <f>F82-E82</f>
        <v>10000</v>
      </c>
      <c r="J82" s="1">
        <f>I82</f>
        <v>10000</v>
      </c>
    </row>
    <row r="83" spans="1:12" ht="30">
      <c r="A83" s="3" t="s">
        <v>26</v>
      </c>
      <c r="D83">
        <v>1</v>
      </c>
      <c r="E83" s="1">
        <f>D83*C4</f>
        <v>200</v>
      </c>
      <c r="F83" s="2">
        <v>0</v>
      </c>
      <c r="H83">
        <v>1</v>
      </c>
      <c r="I83" s="1">
        <f>F83-E83</f>
        <v>-200</v>
      </c>
      <c r="K83" s="1">
        <f>I83</f>
        <v>-200</v>
      </c>
      <c r="L83" s="1"/>
    </row>
    <row r="84" spans="1:12" ht="45">
      <c r="A84" s="3" t="s">
        <v>33</v>
      </c>
      <c r="E84" s="1">
        <v>0</v>
      </c>
      <c r="F84" s="2">
        <f>1500</f>
        <v>1500</v>
      </c>
      <c r="G84" s="3" t="s">
        <v>127</v>
      </c>
      <c r="H84">
        <v>1</v>
      </c>
      <c r="I84" s="1">
        <f>F84-E84</f>
        <v>1500</v>
      </c>
      <c r="J84" s="1">
        <f>F84</f>
        <v>1500</v>
      </c>
      <c r="L84" s="3" t="s">
        <v>128</v>
      </c>
    </row>
    <row r="85" spans="1:12" ht="75">
      <c r="A85" t="s">
        <v>56</v>
      </c>
      <c r="E85" s="1">
        <v>0</v>
      </c>
      <c r="F85" s="2">
        <v>200</v>
      </c>
      <c r="G85" s="3" t="s">
        <v>125</v>
      </c>
      <c r="H85">
        <v>1</v>
      </c>
      <c r="I85" s="1">
        <f>F85-E85</f>
        <v>200</v>
      </c>
      <c r="J85" s="1">
        <f>F85</f>
        <v>200</v>
      </c>
      <c r="L85" s="3" t="s">
        <v>126</v>
      </c>
    </row>
    <row r="86" spans="1:12">
      <c r="H86" s="37">
        <f>SUM(H82:H85)</f>
        <v>6</v>
      </c>
      <c r="J86" s="16">
        <f>SUM(J82:J85)</f>
        <v>11700</v>
      </c>
      <c r="K86" s="16">
        <f>SUM(K83:K85)</f>
        <v>-200</v>
      </c>
      <c r="L86" s="13">
        <f>J86+ABS(K86)</f>
        <v>11900</v>
      </c>
    </row>
    <row r="87" spans="1:12" ht="45">
      <c r="D87">
        <f>SUM(D82:D85)</f>
        <v>1</v>
      </c>
      <c r="H87" s="19" t="s">
        <v>121</v>
      </c>
      <c r="J87" s="14" t="s">
        <v>83</v>
      </c>
      <c r="K87" s="19" t="s">
        <v>129</v>
      </c>
      <c r="L87" s="14" t="s">
        <v>130</v>
      </c>
    </row>
    <row r="88" spans="1:12">
      <c r="A88" s="9"/>
      <c r="B88" s="9"/>
      <c r="C88" s="9"/>
      <c r="D88" s="9"/>
      <c r="E88" s="10"/>
      <c r="F88" s="11"/>
      <c r="G88" s="9"/>
      <c r="H88" s="9"/>
      <c r="I88" s="9"/>
      <c r="J88" s="12"/>
      <c r="K88" s="9"/>
      <c r="L88" s="18"/>
    </row>
    <row r="89" spans="1:12">
      <c r="J89" s="3"/>
      <c r="L89" s="17"/>
    </row>
    <row r="90" spans="1:12">
      <c r="A90" s="6" t="s">
        <v>141</v>
      </c>
    </row>
    <row r="91" spans="1:12" ht="90">
      <c r="A91" t="s">
        <v>34</v>
      </c>
      <c r="D91">
        <v>1</v>
      </c>
      <c r="E91" s="1">
        <f>D91*C4</f>
        <v>200</v>
      </c>
      <c r="F91" s="2">
        <v>2000</v>
      </c>
      <c r="G91" s="3" t="s">
        <v>133</v>
      </c>
      <c r="H91">
        <v>3</v>
      </c>
      <c r="I91" s="1">
        <f>F91-E91</f>
        <v>1800</v>
      </c>
      <c r="J91" s="1">
        <f>F91</f>
        <v>2000</v>
      </c>
      <c r="K91" s="1">
        <f>-1*E91</f>
        <v>-200</v>
      </c>
      <c r="L91" s="3" t="s">
        <v>132</v>
      </c>
    </row>
    <row r="92" spans="1:12" ht="75">
      <c r="A92" t="s">
        <v>38</v>
      </c>
      <c r="D92">
        <v>1</v>
      </c>
      <c r="E92" s="1">
        <f>D92*C4</f>
        <v>200</v>
      </c>
      <c r="F92" s="2">
        <v>2000</v>
      </c>
      <c r="G92" s="3" t="s">
        <v>140</v>
      </c>
      <c r="H92">
        <v>2</v>
      </c>
      <c r="I92" s="1">
        <f>F92-E92</f>
        <v>1800</v>
      </c>
      <c r="J92" s="1">
        <f>F92</f>
        <v>2000</v>
      </c>
      <c r="K92" s="1">
        <f>-1*E92</f>
        <v>-200</v>
      </c>
      <c r="L92" s="3" t="s">
        <v>135</v>
      </c>
    </row>
    <row r="93" spans="1:12" ht="45">
      <c r="A93" s="3" t="s">
        <v>137</v>
      </c>
      <c r="D93">
        <v>3</v>
      </c>
      <c r="E93" s="1">
        <f>D93*C4</f>
        <v>600</v>
      </c>
      <c r="F93" s="2">
        <v>0</v>
      </c>
      <c r="G93" s="2" t="s">
        <v>136</v>
      </c>
      <c r="H93">
        <v>3</v>
      </c>
      <c r="I93" s="1">
        <f>F93-E93</f>
        <v>-600</v>
      </c>
      <c r="K93" s="1">
        <f>I93</f>
        <v>-600</v>
      </c>
      <c r="L93" s="1">
        <f>ABS(K93)+2000</f>
        <v>2600</v>
      </c>
    </row>
    <row r="94" spans="1:12">
      <c r="G94" s="1"/>
      <c r="H94" s="37">
        <f>SUM(H91:H93)</f>
        <v>8</v>
      </c>
      <c r="I94" s="1"/>
      <c r="J94" s="16">
        <f>SUM(J91:J93)</f>
        <v>4000</v>
      </c>
      <c r="K94" s="16">
        <f>SUM(K91:K93)</f>
        <v>-1000</v>
      </c>
      <c r="L94" s="13">
        <f>J94+ABS(K94)</f>
        <v>5000</v>
      </c>
    </row>
    <row r="95" spans="1:12" ht="30">
      <c r="D95">
        <f>SUM(D91:D93)</f>
        <v>5</v>
      </c>
      <c r="G95" s="1"/>
      <c r="H95" s="19" t="s">
        <v>121</v>
      </c>
      <c r="I95" s="1"/>
      <c r="J95" s="14" t="s">
        <v>138</v>
      </c>
      <c r="K95" s="38" t="s">
        <v>129</v>
      </c>
      <c r="L95" s="15" t="s">
        <v>139</v>
      </c>
    </row>
    <row r="96" spans="1:12">
      <c r="A96" s="9"/>
      <c r="B96" s="9"/>
      <c r="C96" s="9"/>
      <c r="D96" s="9"/>
      <c r="E96" s="10"/>
      <c r="F96" s="11"/>
      <c r="G96" s="10"/>
      <c r="H96" s="9"/>
      <c r="I96" s="10"/>
      <c r="J96" s="12"/>
      <c r="K96" s="10"/>
      <c r="L96" s="21"/>
    </row>
    <row r="97" spans="1:12">
      <c r="G97" s="1"/>
      <c r="I97" s="1"/>
      <c r="J97" s="3"/>
      <c r="K97" s="1"/>
      <c r="L97" s="20"/>
    </row>
    <row r="99" spans="1:12">
      <c r="A99" s="6" t="s">
        <v>134</v>
      </c>
    </row>
    <row r="100" spans="1:12" ht="105">
      <c r="A100" s="3" t="s">
        <v>39</v>
      </c>
      <c r="D100">
        <v>3</v>
      </c>
      <c r="E100" s="1">
        <f>D100*C4</f>
        <v>600</v>
      </c>
      <c r="F100" s="2">
        <v>0</v>
      </c>
      <c r="G100" s="2" t="s">
        <v>142</v>
      </c>
      <c r="H100" s="37">
        <v>1</v>
      </c>
      <c r="I100" s="1">
        <f>F100-E100</f>
        <v>-600</v>
      </c>
      <c r="K100" s="16">
        <f>F100-E100</f>
        <v>-600</v>
      </c>
      <c r="L100" s="13">
        <f>ABS(K100)</f>
        <v>600</v>
      </c>
    </row>
    <row r="101" spans="1:12" ht="30">
      <c r="A101" s="3"/>
      <c r="D101">
        <f>SUM(D100)</f>
        <v>3</v>
      </c>
      <c r="G101" s="2"/>
      <c r="H101" s="19" t="s">
        <v>121</v>
      </c>
      <c r="I101" s="1"/>
      <c r="K101" s="38" t="s">
        <v>129</v>
      </c>
      <c r="L101" s="15" t="s">
        <v>144</v>
      </c>
    </row>
    <row r="102" spans="1:12">
      <c r="A102" s="12"/>
      <c r="B102" s="9"/>
      <c r="C102" s="9"/>
      <c r="D102" s="9"/>
      <c r="E102" s="10"/>
      <c r="F102" s="11"/>
      <c r="G102" s="11"/>
      <c r="H102" s="9"/>
      <c r="I102" s="10"/>
      <c r="J102" s="9"/>
      <c r="K102" s="10"/>
      <c r="L102" s="21"/>
    </row>
    <row r="103" spans="1:12">
      <c r="A103" s="3"/>
      <c r="G103" s="2"/>
      <c r="I103" s="1"/>
      <c r="K103" s="1"/>
      <c r="L103" s="20"/>
    </row>
    <row r="104" spans="1:12">
      <c r="A104" s="3"/>
      <c r="G104" s="2"/>
      <c r="I104" s="1"/>
      <c r="K104" s="1"/>
      <c r="L104" s="1"/>
    </row>
    <row r="105" spans="1:12">
      <c r="A105" s="4" t="s">
        <v>147</v>
      </c>
      <c r="G105" s="2"/>
      <c r="I105" s="1"/>
      <c r="K105" s="1"/>
      <c r="L105" s="1"/>
    </row>
    <row r="106" spans="1:12" ht="240">
      <c r="A106" t="s">
        <v>143</v>
      </c>
      <c r="D106">
        <v>20</v>
      </c>
      <c r="E106" s="1">
        <f>D106*C4</f>
        <v>4000</v>
      </c>
      <c r="F106" s="2">
        <f>1500 + 3000</f>
        <v>4500</v>
      </c>
      <c r="G106" s="3" t="s">
        <v>207</v>
      </c>
      <c r="H106">
        <v>5</v>
      </c>
      <c r="I106" s="1">
        <f>F106-E106</f>
        <v>500</v>
      </c>
      <c r="J106" s="1">
        <f>F106</f>
        <v>4500</v>
      </c>
    </row>
    <row r="107" spans="1:12" ht="60">
      <c r="A107" s="3" t="s">
        <v>145</v>
      </c>
      <c r="D107">
        <v>10</v>
      </c>
      <c r="E107" s="1">
        <f>(D107*C4)</f>
        <v>2000</v>
      </c>
      <c r="F107" s="2">
        <v>3000</v>
      </c>
      <c r="G107" s="3" t="s">
        <v>146</v>
      </c>
      <c r="H107" s="37">
        <v>53</v>
      </c>
      <c r="I107" s="1">
        <f>F107-E107</f>
        <v>1000</v>
      </c>
      <c r="J107" s="22">
        <f>SUM(F106:F107)</f>
        <v>7500</v>
      </c>
      <c r="K107" s="23">
        <f>-1*SUM(E106:E107)</f>
        <v>-6000</v>
      </c>
      <c r="L107" s="13">
        <f>J107+K107</f>
        <v>1500</v>
      </c>
    </row>
    <row r="108" spans="1:12" ht="45">
      <c r="D108">
        <f>SUM(D106:D107)</f>
        <v>30</v>
      </c>
      <c r="H108" s="19" t="s">
        <v>121</v>
      </c>
      <c r="J108" s="24" t="s">
        <v>179</v>
      </c>
      <c r="K108" s="25" t="s">
        <v>129</v>
      </c>
      <c r="L108" s="19" t="s">
        <v>192</v>
      </c>
    </row>
    <row r="109" spans="1:12">
      <c r="A109" s="9"/>
      <c r="B109" s="9"/>
      <c r="C109" s="9"/>
      <c r="D109" s="9"/>
      <c r="E109" s="10"/>
      <c r="F109" s="11"/>
      <c r="G109" s="9"/>
      <c r="H109" s="9"/>
      <c r="I109" s="9"/>
      <c r="J109" s="28"/>
      <c r="K109" s="29"/>
    </row>
    <row r="110" spans="1:12">
      <c r="J110" s="26"/>
      <c r="K110" s="27"/>
    </row>
    <row r="112" spans="1:12">
      <c r="A112" s="6" t="s">
        <v>151</v>
      </c>
    </row>
    <row r="113" spans="1:12" ht="45">
      <c r="A113" s="3" t="s">
        <v>40</v>
      </c>
      <c r="D113">
        <v>3</v>
      </c>
      <c r="E113" s="1">
        <f>D113*C4</f>
        <v>600</v>
      </c>
      <c r="F113" s="2">
        <v>0</v>
      </c>
      <c r="G113" s="2" t="s">
        <v>149</v>
      </c>
      <c r="H113">
        <v>4</v>
      </c>
      <c r="I113" s="1"/>
      <c r="J113" s="1">
        <f>F113</f>
        <v>0</v>
      </c>
      <c r="K113" s="1">
        <f>-1*E113</f>
        <v>-600</v>
      </c>
    </row>
    <row r="114" spans="1:12" ht="60">
      <c r="A114" s="3" t="s">
        <v>41</v>
      </c>
      <c r="D114">
        <v>3</v>
      </c>
      <c r="E114" s="1">
        <f>D114*C4</f>
        <v>600</v>
      </c>
      <c r="F114" s="2">
        <v>0</v>
      </c>
      <c r="G114" s="3" t="s">
        <v>153</v>
      </c>
      <c r="H114">
        <v>1</v>
      </c>
      <c r="J114" s="1">
        <f t="shared" ref="J114:J117" si="4">F114</f>
        <v>0</v>
      </c>
      <c r="K114" s="1">
        <f>-1*E114</f>
        <v>-600</v>
      </c>
    </row>
    <row r="115" spans="1:12" ht="30">
      <c r="A115" s="3" t="s">
        <v>42</v>
      </c>
      <c r="D115">
        <v>1</v>
      </c>
      <c r="E115" s="1">
        <f>D115*C4</f>
        <v>200</v>
      </c>
      <c r="F115" s="2">
        <v>0</v>
      </c>
      <c r="G115" s="3" t="s">
        <v>150</v>
      </c>
      <c r="J115" s="1">
        <f t="shared" si="4"/>
        <v>0</v>
      </c>
      <c r="K115" s="1">
        <f t="shared" ref="K115:K117" si="5">-1*E115</f>
        <v>-200</v>
      </c>
    </row>
    <row r="116" spans="1:12" ht="30">
      <c r="A116" t="s">
        <v>55</v>
      </c>
      <c r="E116" s="1">
        <v>0</v>
      </c>
      <c r="F116" s="2">
        <v>15000</v>
      </c>
      <c r="G116" s="3" t="s">
        <v>152</v>
      </c>
      <c r="H116">
        <v>5</v>
      </c>
      <c r="I116" s="1">
        <f>F116</f>
        <v>15000</v>
      </c>
      <c r="J116" s="1">
        <f t="shared" si="4"/>
        <v>15000</v>
      </c>
      <c r="K116" s="1">
        <f t="shared" si="5"/>
        <v>0</v>
      </c>
      <c r="L116" s="3" t="s">
        <v>45</v>
      </c>
    </row>
    <row r="117" spans="1:12" ht="30">
      <c r="A117" s="3" t="s">
        <v>148</v>
      </c>
      <c r="E117" s="1">
        <v>0</v>
      </c>
      <c r="F117" s="2">
        <v>500</v>
      </c>
      <c r="G117" t="s">
        <v>210</v>
      </c>
      <c r="I117" s="1"/>
      <c r="J117" s="1"/>
      <c r="K117" s="1">
        <f>F117</f>
        <v>500</v>
      </c>
      <c r="L117" s="3"/>
    </row>
    <row r="118" spans="1:12">
      <c r="H118" s="37">
        <f>SUM(H113:H117)</f>
        <v>10</v>
      </c>
      <c r="I118" s="1"/>
      <c r="J118" s="16">
        <f>SUM(J113:J117)</f>
        <v>15000</v>
      </c>
      <c r="K118" s="16">
        <f>SUM(K113:K117)</f>
        <v>-900</v>
      </c>
      <c r="L118" s="31">
        <f>J118+ABS(K118)</f>
        <v>15900</v>
      </c>
    </row>
    <row r="119" spans="1:12" ht="30">
      <c r="D119">
        <f>SUM(D113:D117)</f>
        <v>7</v>
      </c>
      <c r="H119" s="19" t="s">
        <v>121</v>
      </c>
      <c r="J119" s="14" t="s">
        <v>138</v>
      </c>
      <c r="K119" s="19" t="s">
        <v>129</v>
      </c>
      <c r="L119" s="30" t="s">
        <v>195</v>
      </c>
    </row>
    <row r="120" spans="1:12">
      <c r="A120" s="9"/>
      <c r="B120" s="9"/>
      <c r="C120" s="9"/>
      <c r="D120" s="9"/>
      <c r="E120" s="10"/>
      <c r="F120" s="11"/>
      <c r="G120" s="9"/>
      <c r="H120" s="9"/>
      <c r="I120" s="9"/>
      <c r="J120" s="12"/>
      <c r="K120" s="9"/>
      <c r="L120" s="10"/>
    </row>
    <row r="121" spans="1:12">
      <c r="J121" s="3"/>
      <c r="L121" s="1"/>
    </row>
    <row r="122" spans="1:12">
      <c r="A122" s="6" t="s">
        <v>43</v>
      </c>
    </row>
    <row r="123" spans="1:12" ht="60">
      <c r="A123" s="3" t="s">
        <v>44</v>
      </c>
      <c r="D123">
        <v>3</v>
      </c>
      <c r="E123" s="1">
        <f>D123*C4</f>
        <v>600</v>
      </c>
      <c r="F123" s="2">
        <v>0</v>
      </c>
      <c r="G123" s="2" t="s">
        <v>208</v>
      </c>
      <c r="H123">
        <v>3</v>
      </c>
      <c r="I123" s="1">
        <f>F123-E123</f>
        <v>-600</v>
      </c>
      <c r="J123">
        <v>0</v>
      </c>
      <c r="K123" s="1">
        <f>-1*E123</f>
        <v>-600</v>
      </c>
      <c r="L123" s="1">
        <f>ABS(K123)</f>
        <v>600</v>
      </c>
    </row>
    <row r="124" spans="1:12" ht="75">
      <c r="A124" s="3" t="s">
        <v>157</v>
      </c>
      <c r="D124">
        <v>4</v>
      </c>
      <c r="E124" s="1">
        <f>D124*C4</f>
        <v>800</v>
      </c>
      <c r="F124" s="2">
        <v>0</v>
      </c>
      <c r="G124" s="2" t="s">
        <v>159</v>
      </c>
      <c r="H124">
        <v>5</v>
      </c>
      <c r="I124" s="1">
        <f>F124-E124</f>
        <v>-800</v>
      </c>
      <c r="J124">
        <v>0</v>
      </c>
      <c r="K124" s="1">
        <f t="shared" ref="K124:K125" si="6">-1*E124</f>
        <v>-800</v>
      </c>
    </row>
    <row r="125" spans="1:12" ht="60">
      <c r="A125" s="3" t="s">
        <v>154</v>
      </c>
      <c r="E125" s="1">
        <v>0</v>
      </c>
      <c r="F125" s="2">
        <v>10000</v>
      </c>
      <c r="G125" s="2" t="s">
        <v>156</v>
      </c>
      <c r="H125">
        <v>15</v>
      </c>
      <c r="I125" s="1">
        <f>F125-E125</f>
        <v>10000</v>
      </c>
      <c r="J125" s="1">
        <f>F125</f>
        <v>10000</v>
      </c>
      <c r="K125" s="1">
        <f t="shared" si="6"/>
        <v>0</v>
      </c>
      <c r="L125" s="3" t="s">
        <v>155</v>
      </c>
    </row>
    <row r="126" spans="1:12">
      <c r="G126" s="1"/>
      <c r="H126" s="37">
        <f>SUM(H123:H125)</f>
        <v>23</v>
      </c>
      <c r="I126" s="1"/>
      <c r="J126" s="16">
        <f>SUM(J123:J125)</f>
        <v>10000</v>
      </c>
      <c r="K126" s="16">
        <f>SUM(K123:K125)</f>
        <v>-1400</v>
      </c>
      <c r="L126" s="13">
        <f>J126+ABS(K126)</f>
        <v>11400</v>
      </c>
    </row>
    <row r="127" spans="1:12" ht="30">
      <c r="D127">
        <f>SUM(D123:D125)</f>
        <v>7</v>
      </c>
      <c r="H127" s="19" t="s">
        <v>121</v>
      </c>
      <c r="J127" s="14" t="s">
        <v>138</v>
      </c>
      <c r="K127" s="19" t="s">
        <v>129</v>
      </c>
      <c r="L127" s="19" t="s">
        <v>158</v>
      </c>
    </row>
    <row r="128" spans="1:12">
      <c r="A128" s="9"/>
      <c r="B128" s="9"/>
      <c r="C128" s="9"/>
      <c r="D128" s="9"/>
      <c r="E128" s="10"/>
      <c r="F128" s="11"/>
      <c r="G128" s="9"/>
      <c r="H128" s="9"/>
      <c r="I128" s="9"/>
      <c r="J128" s="12"/>
      <c r="K128" s="9"/>
      <c r="L128" s="33"/>
    </row>
    <row r="129" spans="1:12">
      <c r="J129" s="3"/>
      <c r="L129" s="32"/>
    </row>
    <row r="130" spans="1:12">
      <c r="A130" s="6" t="s">
        <v>47</v>
      </c>
    </row>
    <row r="131" spans="1:12" ht="105">
      <c r="A131" t="s">
        <v>46</v>
      </c>
      <c r="F131" s="2">
        <v>5000</v>
      </c>
      <c r="G131" s="3" t="s">
        <v>160</v>
      </c>
      <c r="H131">
        <v>30</v>
      </c>
      <c r="I131" s="1">
        <f>F131</f>
        <v>5000</v>
      </c>
      <c r="J131" s="1">
        <f>I131</f>
        <v>5000</v>
      </c>
      <c r="L131" s="1">
        <f>ABS(K133)+J131</f>
        <v>5200</v>
      </c>
    </row>
    <row r="132" spans="1:12" ht="30">
      <c r="A132" t="s">
        <v>48</v>
      </c>
      <c r="D132">
        <v>1</v>
      </c>
      <c r="E132" s="1">
        <f>D132*C4</f>
        <v>200</v>
      </c>
      <c r="F132" s="2">
        <v>0</v>
      </c>
      <c r="G132" s="3" t="s">
        <v>161</v>
      </c>
      <c r="H132">
        <v>1</v>
      </c>
      <c r="I132" s="1">
        <f>F132-E132</f>
        <v>-200</v>
      </c>
      <c r="K132" s="1">
        <f>I132</f>
        <v>-200</v>
      </c>
    </row>
    <row r="133" spans="1:12" ht="45">
      <c r="A133" s="3" t="s">
        <v>53</v>
      </c>
      <c r="D133">
        <v>1</v>
      </c>
      <c r="E133" s="1">
        <f>D133*C4</f>
        <v>200</v>
      </c>
      <c r="F133" s="2">
        <v>0</v>
      </c>
      <c r="G133" s="3" t="s">
        <v>162</v>
      </c>
      <c r="I133" s="1">
        <f>F133-E133</f>
        <v>-200</v>
      </c>
      <c r="K133" s="1">
        <f>I133</f>
        <v>-200</v>
      </c>
    </row>
    <row r="134" spans="1:12">
      <c r="H134" s="37">
        <f>SUM(H131:H132)</f>
        <v>31</v>
      </c>
      <c r="I134" s="1"/>
      <c r="J134" s="16">
        <f>SUM(J131:J133)</f>
        <v>5000</v>
      </c>
      <c r="K134" s="16">
        <f>SUM(K131:K133)</f>
        <v>-400</v>
      </c>
      <c r="L134" s="13">
        <f>J134+ABS(K134)</f>
        <v>5400</v>
      </c>
    </row>
    <row r="135" spans="1:12" ht="30">
      <c r="D135">
        <f>SUM(D131:D134)</f>
        <v>2</v>
      </c>
      <c r="H135" s="19" t="s">
        <v>121</v>
      </c>
      <c r="I135" s="1"/>
      <c r="J135" s="14" t="s">
        <v>138</v>
      </c>
      <c r="K135" s="38" t="s">
        <v>129</v>
      </c>
      <c r="L135" s="14" t="s">
        <v>163</v>
      </c>
    </row>
    <row r="136" spans="1:12">
      <c r="A136" s="9"/>
      <c r="B136" s="9"/>
      <c r="C136" s="9"/>
      <c r="D136" s="9"/>
      <c r="E136" s="10"/>
      <c r="F136" s="11"/>
      <c r="G136" s="9"/>
      <c r="H136" s="9"/>
      <c r="I136" s="10"/>
      <c r="J136" s="12"/>
      <c r="K136" s="10"/>
      <c r="L136" s="18"/>
    </row>
    <row r="138" spans="1:12">
      <c r="A138" s="6" t="s">
        <v>164</v>
      </c>
    </row>
    <row r="139" spans="1:12" ht="60">
      <c r="A139" s="3" t="s">
        <v>165</v>
      </c>
      <c r="D139">
        <v>1</v>
      </c>
      <c r="E139" s="1">
        <f>D139*C4</f>
        <v>200</v>
      </c>
      <c r="F139" s="2">
        <v>0</v>
      </c>
      <c r="G139" s="2" t="s">
        <v>169</v>
      </c>
      <c r="I139" s="1">
        <f>F139-E139</f>
        <v>-200</v>
      </c>
      <c r="K139" s="1">
        <f>-1*E139</f>
        <v>-200</v>
      </c>
      <c r="L139" s="1"/>
    </row>
    <row r="140" spans="1:12" ht="30">
      <c r="A140" t="s">
        <v>166</v>
      </c>
      <c r="F140" s="2">
        <v>1800</v>
      </c>
      <c r="G140" s="2" t="s">
        <v>168</v>
      </c>
      <c r="H140">
        <v>6</v>
      </c>
      <c r="I140" s="1"/>
      <c r="J140" s="1">
        <f>F140</f>
        <v>1800</v>
      </c>
      <c r="L140" t="s">
        <v>167</v>
      </c>
    </row>
    <row r="141" spans="1:12">
      <c r="G141" s="1"/>
      <c r="H141" s="37">
        <f>SUM(H139:H140)</f>
        <v>6</v>
      </c>
      <c r="I141" s="1"/>
      <c r="J141" s="16">
        <f>SUM(J139:J140)</f>
        <v>1800</v>
      </c>
      <c r="K141" s="16">
        <f>SUM(K139:K140)</f>
        <v>-200</v>
      </c>
      <c r="L141" s="13">
        <f>J141+ABS(K141)</f>
        <v>2000</v>
      </c>
    </row>
    <row r="142" spans="1:12" ht="45">
      <c r="D142">
        <f>SUM(D139:D141)</f>
        <v>1</v>
      </c>
      <c r="G142" s="1"/>
      <c r="H142" s="19" t="s">
        <v>121</v>
      </c>
      <c r="I142" s="1"/>
      <c r="J142" s="14" t="s">
        <v>138</v>
      </c>
      <c r="K142" s="19" t="s">
        <v>129</v>
      </c>
      <c r="L142" s="14" t="s">
        <v>170</v>
      </c>
    </row>
    <row r="143" spans="1:12">
      <c r="A143" s="9"/>
      <c r="B143" s="9"/>
      <c r="C143" s="9"/>
      <c r="D143" s="9"/>
      <c r="E143" s="10"/>
      <c r="F143" s="11"/>
      <c r="G143" s="10"/>
      <c r="H143" s="9"/>
      <c r="I143" s="10"/>
      <c r="J143" s="12"/>
      <c r="K143" s="9"/>
      <c r="L143" s="18"/>
    </row>
    <row r="144" spans="1:12">
      <c r="G144" s="1"/>
      <c r="I144" s="1"/>
    </row>
    <row r="145" spans="1:12">
      <c r="A145" s="6" t="s">
        <v>49</v>
      </c>
    </row>
    <row r="146" spans="1:12" ht="45">
      <c r="A146" s="3" t="s">
        <v>209</v>
      </c>
      <c r="D146">
        <v>1</v>
      </c>
      <c r="E146" s="1">
        <f>D146*C4</f>
        <v>200</v>
      </c>
      <c r="F146" s="2">
        <v>0</v>
      </c>
      <c r="G146" s="2" t="s">
        <v>171</v>
      </c>
      <c r="H146">
        <v>1</v>
      </c>
      <c r="I146" s="1">
        <f>F146-E146</f>
        <v>-200</v>
      </c>
      <c r="K146" s="1">
        <f>I146+I147</f>
        <v>-800</v>
      </c>
      <c r="L146" s="1">
        <f>ABS(K146)</f>
        <v>800</v>
      </c>
    </row>
    <row r="147" spans="1:12" ht="105">
      <c r="A147" s="3" t="s">
        <v>50</v>
      </c>
      <c r="D147">
        <v>3</v>
      </c>
      <c r="E147" s="1">
        <f>D147*C4</f>
        <v>600</v>
      </c>
      <c r="F147" s="2">
        <v>0</v>
      </c>
      <c r="G147" s="2" t="s">
        <v>173</v>
      </c>
      <c r="H147">
        <v>3</v>
      </c>
      <c r="I147" s="1">
        <f>F147-E147</f>
        <v>-600</v>
      </c>
      <c r="K147" s="1">
        <f>-1*E147</f>
        <v>-600</v>
      </c>
    </row>
    <row r="148" spans="1:12">
      <c r="H148" s="37">
        <f>SUM(H146:H147)</f>
        <v>4</v>
      </c>
      <c r="K148" s="16">
        <f>SUM(K146:K147)</f>
        <v>-1400</v>
      </c>
      <c r="L148" s="13">
        <f>ABS(K148)</f>
        <v>1400</v>
      </c>
    </row>
    <row r="149" spans="1:12" ht="45">
      <c r="D149">
        <f>SUM(D146:D147)</f>
        <v>4</v>
      </c>
      <c r="H149" s="19" t="s">
        <v>121</v>
      </c>
      <c r="K149" s="19" t="s">
        <v>129</v>
      </c>
      <c r="L149" s="34" t="s">
        <v>172</v>
      </c>
    </row>
    <row r="150" spans="1:12">
      <c r="A150" s="9"/>
      <c r="B150" s="9"/>
      <c r="C150" s="9"/>
      <c r="D150" s="9"/>
      <c r="E150" s="10"/>
      <c r="F150" s="11"/>
      <c r="G150" s="9"/>
      <c r="H150" s="9"/>
      <c r="I150" s="9"/>
      <c r="J150" s="9"/>
      <c r="K150" s="9"/>
      <c r="L150" s="36"/>
    </row>
    <row r="151" spans="1:12">
      <c r="L151" s="35"/>
    </row>
    <row r="152" spans="1:12">
      <c r="A152" s="6" t="s">
        <v>52</v>
      </c>
    </row>
    <row r="153" spans="1:12" ht="120">
      <c r="A153" s="3" t="s">
        <v>174</v>
      </c>
      <c r="D153">
        <v>3</v>
      </c>
      <c r="E153" s="1">
        <f>D153*C4</f>
        <v>600</v>
      </c>
      <c r="F153" s="2">
        <v>0</v>
      </c>
      <c r="G153" s="2" t="s">
        <v>177</v>
      </c>
      <c r="H153">
        <v>20</v>
      </c>
      <c r="I153" s="1">
        <f>F153-E153</f>
        <v>-600</v>
      </c>
      <c r="K153" s="1">
        <f>-1*E153</f>
        <v>-600</v>
      </c>
      <c r="L153" s="1"/>
    </row>
    <row r="154" spans="1:12" ht="45">
      <c r="A154" s="3" t="s">
        <v>175</v>
      </c>
      <c r="D154">
        <v>1</v>
      </c>
      <c r="E154" s="1">
        <f>D154*C4</f>
        <v>200</v>
      </c>
      <c r="F154" s="2">
        <v>0</v>
      </c>
      <c r="G154" s="2" t="s">
        <v>176</v>
      </c>
      <c r="H154">
        <v>10</v>
      </c>
      <c r="I154" s="1">
        <f>F154-E154</f>
        <v>-200</v>
      </c>
      <c r="K154" s="1">
        <f>-1*E154</f>
        <v>-200</v>
      </c>
    </row>
    <row r="155" spans="1:12">
      <c r="E155"/>
      <c r="F155"/>
      <c r="H155" s="37">
        <f>SUM(H153:H154)</f>
        <v>30</v>
      </c>
      <c r="K155" s="16">
        <f>SUM(K153:K154)</f>
        <v>-800</v>
      </c>
      <c r="L155" s="13">
        <f>ABS(K155)</f>
        <v>800</v>
      </c>
    </row>
    <row r="156" spans="1:12" ht="30">
      <c r="D156">
        <f>SUM(D153:D154)</f>
        <v>4</v>
      </c>
      <c r="H156" s="19" t="s">
        <v>121</v>
      </c>
      <c r="K156" s="19" t="s">
        <v>129</v>
      </c>
      <c r="L156" s="14" t="s">
        <v>178</v>
      </c>
    </row>
    <row r="157" spans="1:12">
      <c r="A157" s="9"/>
      <c r="B157" s="9"/>
      <c r="C157" s="9"/>
      <c r="D157" s="9"/>
      <c r="E157" s="10"/>
      <c r="F157" s="11"/>
      <c r="G157" s="9"/>
      <c r="H157" s="9"/>
      <c r="I157" s="9"/>
      <c r="J157" s="9"/>
      <c r="K157" s="9"/>
      <c r="L157" s="18"/>
    </row>
    <row r="158" spans="1:12">
      <c r="L158" s="17"/>
    </row>
    <row r="159" spans="1:12">
      <c r="A159" s="6" t="s">
        <v>180</v>
      </c>
    </row>
    <row r="160" spans="1:12" ht="60">
      <c r="A160" s="3" t="s">
        <v>174</v>
      </c>
      <c r="D160">
        <v>1</v>
      </c>
      <c r="E160" s="1">
        <f>D160*C4</f>
        <v>200</v>
      </c>
      <c r="F160" s="2">
        <v>0</v>
      </c>
      <c r="G160" s="2" t="s">
        <v>182</v>
      </c>
      <c r="H160">
        <v>0</v>
      </c>
      <c r="I160" s="1">
        <f>F160-E160</f>
        <v>-200</v>
      </c>
      <c r="K160" s="1">
        <f>-1*E160</f>
        <v>-200</v>
      </c>
      <c r="L160" s="1"/>
    </row>
    <row r="161" spans="1:12">
      <c r="E161"/>
      <c r="F161"/>
    </row>
    <row r="162" spans="1:12">
      <c r="E162"/>
      <c r="F162"/>
      <c r="H162" s="37">
        <f>SUM(H160:H161)</f>
        <v>0</v>
      </c>
      <c r="K162" s="16">
        <f>SUM(K160:K161)</f>
        <v>-200</v>
      </c>
      <c r="L162" s="13">
        <f>ABS(K162)</f>
        <v>200</v>
      </c>
    </row>
    <row r="163" spans="1:12" ht="30">
      <c r="D163">
        <f>SUM(D160:D162)</f>
        <v>1</v>
      </c>
      <c r="H163" s="19" t="s">
        <v>121</v>
      </c>
      <c r="K163" s="19" t="s">
        <v>129</v>
      </c>
      <c r="L163" s="14" t="s">
        <v>181</v>
      </c>
    </row>
    <row r="164" spans="1:12">
      <c r="A164" s="9"/>
      <c r="B164" s="9"/>
      <c r="C164" s="9"/>
      <c r="D164" s="9"/>
      <c r="E164" s="10"/>
      <c r="F164" s="11"/>
      <c r="G164" s="9"/>
      <c r="H164" s="9"/>
      <c r="I164" s="9"/>
      <c r="J164" s="9"/>
      <c r="K164" s="9"/>
      <c r="L164" s="18"/>
    </row>
    <row r="165" spans="1:12">
      <c r="L165" s="17"/>
    </row>
    <row r="166" spans="1:12">
      <c r="A166" s="6" t="s">
        <v>183</v>
      </c>
    </row>
    <row r="167" spans="1:12" ht="90">
      <c r="A167" s="3" t="s">
        <v>51</v>
      </c>
      <c r="D167">
        <v>10</v>
      </c>
      <c r="E167" s="1">
        <f>D167*C4 +150</f>
        <v>2150</v>
      </c>
      <c r="F167" s="2">
        <v>0</v>
      </c>
      <c r="G167" s="3" t="s">
        <v>185</v>
      </c>
      <c r="H167">
        <v>3</v>
      </c>
      <c r="I167" s="1">
        <f>F167-E167</f>
        <v>-2150</v>
      </c>
      <c r="K167" s="1">
        <f>-1*E167</f>
        <v>-2150</v>
      </c>
    </row>
    <row r="168" spans="1:12">
      <c r="A168" t="s">
        <v>184</v>
      </c>
      <c r="D168">
        <v>5</v>
      </c>
      <c r="E168" s="1">
        <f>D168*C4</f>
        <v>1000</v>
      </c>
      <c r="F168" s="2">
        <v>1260</v>
      </c>
      <c r="G168" t="s">
        <v>194</v>
      </c>
      <c r="H168">
        <v>0</v>
      </c>
      <c r="I168" s="1">
        <f>F168-E168</f>
        <v>260</v>
      </c>
      <c r="J168" s="1">
        <f>F168</f>
        <v>1260</v>
      </c>
      <c r="K168" s="1"/>
      <c r="L168" s="1">
        <f>J168</f>
        <v>1260</v>
      </c>
    </row>
    <row r="169" spans="1:12">
      <c r="H169" s="37">
        <f>SUM(H167)</f>
        <v>3</v>
      </c>
      <c r="I169" s="1"/>
      <c r="J169" s="16">
        <f>SUM(J168)</f>
        <v>1260</v>
      </c>
      <c r="K169" s="16">
        <f>SUM(K167)</f>
        <v>-2150</v>
      </c>
      <c r="L169" s="13">
        <f>J169+K169</f>
        <v>-890</v>
      </c>
    </row>
    <row r="170" spans="1:12" ht="45">
      <c r="D170">
        <f>SUM(D167:D169)</f>
        <v>15</v>
      </c>
      <c r="H170" s="19" t="s">
        <v>121</v>
      </c>
      <c r="J170" s="14" t="s">
        <v>186</v>
      </c>
      <c r="K170" s="19" t="s">
        <v>19</v>
      </c>
      <c r="L170" s="14" t="s">
        <v>193</v>
      </c>
    </row>
    <row r="172" spans="1:12">
      <c r="A172" s="9"/>
      <c r="B172" s="9"/>
      <c r="C172" s="9"/>
      <c r="D172" s="9"/>
      <c r="E172" s="10"/>
      <c r="F172" s="11"/>
      <c r="G172" s="9"/>
      <c r="H172" s="9"/>
      <c r="I172" s="9"/>
      <c r="J172" s="9"/>
      <c r="K172" s="9"/>
      <c r="L172" s="9"/>
    </row>
    <row r="174" spans="1:12" ht="18">
      <c r="G174" s="42" t="s">
        <v>200</v>
      </c>
      <c r="H174" s="43">
        <f>H7+H21+H33+H43+H63+H75+H86+H94+H100+H126+H134+H141+H148+H155+H169</f>
        <v>192</v>
      </c>
      <c r="I174" s="44">
        <f>J107</f>
        <v>7500</v>
      </c>
      <c r="J174" s="44">
        <f>J21+J33+J42+J63+J75+J86+J94+J118+J126+J134+J141</f>
        <v>113280</v>
      </c>
      <c r="K174" s="44">
        <f>K7+K21+K33+K43+K63+K75+K86+K94+K100+K107+K118+K126+K134+K141+K148+K155+K162+K169</f>
        <v>-41210</v>
      </c>
      <c r="L174" s="44">
        <f>L7+L21+L33+L43+L63+L76+L86+L94+L100+L118+L126+L134+L141+L148+L155+L162+L169+L107</f>
        <v>146950</v>
      </c>
    </row>
    <row r="175" spans="1:12" ht="60">
      <c r="G175" s="45"/>
      <c r="H175" s="46" t="s">
        <v>191</v>
      </c>
      <c r="I175" s="47" t="s">
        <v>203</v>
      </c>
      <c r="J175" s="47" t="s">
        <v>204</v>
      </c>
      <c r="K175" s="47" t="s">
        <v>205</v>
      </c>
      <c r="L175" s="47" t="s">
        <v>206</v>
      </c>
    </row>
    <row r="176" spans="1:12">
      <c r="G176" s="45"/>
      <c r="H176" s="43">
        <f>H174+H107</f>
        <v>245</v>
      </c>
      <c r="I176" s="45"/>
      <c r="J176" s="45"/>
      <c r="K176" s="48">
        <f>D8+D22+D34+D44+D64+D76+D87+D95+D101+D108+D119+D127+D135+D142+D149+D156+D163+D170</f>
        <v>209.5</v>
      </c>
      <c r="L176" s="45"/>
    </row>
    <row r="177" spans="7:12" ht="60">
      <c r="G177" s="45"/>
      <c r="H177" s="46" t="s">
        <v>190</v>
      </c>
      <c r="I177" s="45"/>
      <c r="J177" s="45"/>
      <c r="K177" s="47" t="s">
        <v>201</v>
      </c>
      <c r="L177" s="44">
        <f>K174+I174</f>
        <v>-33710</v>
      </c>
    </row>
    <row r="178" spans="7:12" ht="45">
      <c r="G178" s="45"/>
      <c r="H178" s="45"/>
      <c r="I178" s="45"/>
      <c r="J178" s="45"/>
      <c r="K178" s="45"/>
      <c r="L178" s="47" t="s">
        <v>202</v>
      </c>
    </row>
  </sheetData>
  <phoneticPr fontId="6"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Amara Graps</dc:creator>
  <cp:lastModifiedBy>Amara Graps</cp:lastModifiedBy>
  <cp:lastPrinted>2017-10-13T13:39:11Z</cp:lastPrinted>
  <dcterms:created xsi:type="dcterms:W3CDTF">2017-06-14T16:28:54Z</dcterms:created>
  <dcterms:modified xsi:type="dcterms:W3CDTF">2017-10-18T06:10:58Z</dcterms:modified>
</cp:coreProperties>
</file>